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026"/>
  <workbookPr filterPrivacy="1" defaultThemeVersion="124226"/>
  <xr:revisionPtr revIDLastSave="0" documentId="13_ncr:1_{5453F208-4893-45A2-A28A-45464C8029E2}" xr6:coauthVersionLast="45" xr6:coauthVersionMax="45" xr10:uidLastSave="{00000000-0000-0000-0000-000000000000}"/>
  <bookViews>
    <workbookView xWindow="-120" yWindow="-120" windowWidth="29040" windowHeight="15840" xr2:uid="{00000000-000D-0000-FFFF-FFFF00000000}"/>
  </bookViews>
  <sheets>
    <sheet name="Documentation" sheetId="4" r:id="rId1"/>
    <sheet name="Input" sheetId="1" r:id="rId2"/>
    <sheet name="Sample Data" sheetId="7" r:id="rId3"/>
    <sheet name="Computations" sheetId="5" r:id="rId4"/>
    <sheet name="Output" sheetId="6" r:id="rId5"/>
  </sheets>
  <definedNames>
    <definedName name="adjust">Computations!$K$13</definedName>
    <definedName name="adjust.label">Input!$C$16</definedName>
    <definedName name="adjusted.share.of.change">Computations!$B$339</definedName>
    <definedName name="area">Input!#REF!</definedName>
    <definedName name="b">#REF!</definedName>
    <definedName name="base">Computations!$K$17</definedName>
    <definedName name="base.year">Input!$C$13</definedName>
    <definedName name="component">Input!#REF!</definedName>
    <definedName name="constant.share">Computations!#REF!</definedName>
    <definedName name="constant.share.projections">Computations!$B$37</definedName>
    <definedName name="crv.computations">#REF!</definedName>
    <definedName name="delta">Computations!$K$21</definedName>
    <definedName name="first.year">Input!#REF!</definedName>
    <definedName name="geometric.estimates">#REF!</definedName>
    <definedName name="geometric.paramters">#REF!</definedName>
    <definedName name="gompertz.lower.limit">#REF!</definedName>
    <definedName name="gompertz.upper.limit">#REF!</definedName>
    <definedName name="input.data">Input!$B$2</definedName>
    <definedName name="interval.obs">Input!$C$18</definedName>
    <definedName name="interval.proj">Input!#REF!</definedName>
    <definedName name="l">#REF!</definedName>
    <definedName name="label">Input!$C$4</definedName>
    <definedName name="last.year">Input!#REF!</definedName>
    <definedName name="launch">Computations!$K$18</definedName>
    <definedName name="launch.year">Input!$C$14</definedName>
    <definedName name="limit">Input!$C$19</definedName>
    <definedName name="linear.estimates">#REF!</definedName>
    <definedName name="linear.parameters">#REF!</definedName>
    <definedName name="logist.parameters">#REF!</definedName>
    <definedName name="logistic.estimates">#REF!</definedName>
    <definedName name="mape.maple.computations">#REF!</definedName>
    <definedName name="mod.expon.lower.limit">#REF!</definedName>
    <definedName name="mod.expon.upper.limit">#REF!</definedName>
    <definedName name="N">#REF!</definedName>
    <definedName name="N.odd">#REF!</definedName>
    <definedName name="One">#REF!</definedName>
    <definedName name="one.analysis">Computations!$K$15</definedName>
    <definedName name="one.refer">Computations!$K$16</definedName>
    <definedName name="one.refrnce">Computations!#REF!</definedName>
    <definedName name="one.sub">Computations!#REF!</definedName>
    <definedName name="P.base">Computations!#REF!</definedName>
    <definedName name="P.launch">Computations!#REF!</definedName>
    <definedName name="P.target">Computations!#REF!</definedName>
    <definedName name="p1.base">Computations!#REF!</definedName>
    <definedName name="p1.launch">Computations!#REF!</definedName>
    <definedName name="p1.target">Computations!#REF!</definedName>
    <definedName name="parabobolic.paramters">#REF!</definedName>
    <definedName name="parabolic.estimates">#REF!</definedName>
    <definedName name="plus.minus.adjustment">Computations!$B$288</definedName>
    <definedName name="projected.shift">Computations!$B$83</definedName>
    <definedName name="refence.component">Input!#REF!</definedName>
    <definedName name="refer.area">Input!$C$9</definedName>
    <definedName name="refer.label">Input!$C$11</definedName>
    <definedName name="s.trend">Computations!$K$26</definedName>
    <definedName name="share.of.change">Computations!$B$166</definedName>
    <definedName name="share.of.change.projection">Computations!$B$204</definedName>
    <definedName name="share.trend">Computations!#REF!</definedName>
    <definedName name="share.trend.projection">Computations!$B$274</definedName>
    <definedName name="shift.share">Computations!#REF!</definedName>
    <definedName name="shift.share.projections">Computations!$B$124</definedName>
    <definedName name="study.area">Input!$C$8</definedName>
    <definedName name="study.label">Input!$C$10</definedName>
    <definedName name="Sub_Area">#REF!</definedName>
    <definedName name="sum">Computations!$K$22</definedName>
    <definedName name="Sum.X2">#REF!</definedName>
    <definedName name="ta">#REF!</definedName>
    <definedName name="target">Computations!$K$19</definedName>
    <definedName name="target.year">Input!$C$15</definedName>
    <definedName name="text.base">#REF!</definedName>
    <definedName name="text.launch">#REF!</definedName>
    <definedName name="upper.limit">#REF!</definedName>
    <definedName name="variable">Input!$C$12</definedName>
    <definedName name="X.base">Computations!$D$8</definedName>
    <definedName name="X.launch">Computations!$E$8</definedName>
    <definedName name="X.target">Computations!$F$8</definedName>
    <definedName name="x1.base">Computations!$K$27</definedName>
    <definedName name="x1.launch">Computations!$K$28</definedName>
    <definedName name="x1.target">Computations!$K$20</definedName>
    <definedName name="Y.fit">#REF!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5" i="5" l="1"/>
  <c r="E5" i="5"/>
  <c r="D5" i="5"/>
  <c r="D118" i="5" l="1"/>
  <c r="D117" i="5"/>
  <c r="D116" i="5"/>
  <c r="O8" i="1" l="1"/>
  <c r="I49" i="7" l="1"/>
  <c r="K15" i="5"/>
  <c r="K16" i="5"/>
  <c r="J26" i="5" l="1"/>
  <c r="J25" i="5"/>
  <c r="J24" i="5"/>
  <c r="J23" i="5"/>
  <c r="J28" i="5"/>
  <c r="J27" i="5"/>
  <c r="J12" i="5"/>
  <c r="J11" i="5"/>
  <c r="J13" i="5"/>
  <c r="O6" i="1"/>
  <c r="C172" i="5"/>
  <c r="J311" i="5"/>
  <c r="K243" i="5"/>
  <c r="J201" i="5"/>
  <c r="B290" i="5"/>
  <c r="B206" i="5"/>
  <c r="B208" i="5"/>
  <c r="B343" i="5"/>
  <c r="B341" i="5"/>
  <c r="B170" i="5"/>
  <c r="B292" i="5"/>
  <c r="B168" i="5"/>
  <c r="D263" i="5"/>
  <c r="E247" i="5"/>
  <c r="C247" i="5"/>
  <c r="E248" i="5"/>
  <c r="F248" i="5"/>
  <c r="B247" i="5"/>
  <c r="E263" i="5"/>
  <c r="F247" i="5"/>
  <c r="E262" i="5"/>
  <c r="F252" i="5"/>
  <c r="C195" i="5"/>
  <c r="C194" i="5"/>
  <c r="C186" i="5"/>
  <c r="C178" i="5"/>
  <c r="C192" i="5"/>
  <c r="C176" i="5"/>
  <c r="C183" i="5"/>
  <c r="C188" i="5"/>
  <c r="C193" i="5"/>
  <c r="C185" i="5"/>
  <c r="C177" i="5"/>
  <c r="C184" i="5"/>
  <c r="C191" i="5"/>
  <c r="C175" i="5"/>
  <c r="C187" i="5"/>
  <c r="C179" i="5"/>
  <c r="C190" i="5"/>
  <c r="C182" i="5"/>
  <c r="C174" i="5"/>
  <c r="C189" i="5"/>
  <c r="C181" i="5"/>
  <c r="C173" i="5"/>
  <c r="C196" i="5"/>
  <c r="C180" i="5"/>
  <c r="C2" i="5"/>
  <c r="K28" i="5"/>
  <c r="K27" i="5"/>
  <c r="J8" i="1"/>
  <c r="J312" i="5"/>
  <c r="C257" i="5"/>
  <c r="C285" i="5"/>
  <c r="C256" i="5"/>
  <c r="C284" i="5"/>
  <c r="C271" i="5"/>
  <c r="C270" i="5"/>
  <c r="J200" i="5"/>
  <c r="K244" i="5"/>
  <c r="J49" i="7"/>
  <c r="B10" i="6"/>
  <c r="B9" i="6"/>
  <c r="B8" i="6"/>
  <c r="B7" i="6"/>
  <c r="B6" i="6"/>
  <c r="F49" i="7"/>
  <c r="L155" i="7"/>
  <c r="K155" i="7"/>
  <c r="J155" i="7"/>
  <c r="G155" i="7"/>
  <c r="F155" i="7"/>
  <c r="L116" i="7"/>
  <c r="K116" i="7"/>
  <c r="J116" i="7"/>
  <c r="G116" i="7"/>
  <c r="F116" i="7"/>
  <c r="L77" i="7"/>
  <c r="K77" i="7"/>
  <c r="J77" i="7"/>
  <c r="G77" i="7"/>
  <c r="F77" i="7"/>
  <c r="M50" i="7"/>
  <c r="L50" i="7"/>
  <c r="K50" i="7"/>
  <c r="J50" i="7"/>
  <c r="L38" i="7"/>
  <c r="K38" i="7"/>
  <c r="J38" i="7"/>
  <c r="G38" i="7"/>
  <c r="F38" i="7"/>
  <c r="C201" i="5" l="1"/>
  <c r="C200" i="5"/>
  <c r="L8" i="5"/>
  <c r="K8" i="5"/>
  <c r="L7" i="5"/>
  <c r="K7" i="5"/>
  <c r="K12" i="5" l="1"/>
  <c r="K13" i="5"/>
  <c r="J8" i="5"/>
  <c r="J7" i="5"/>
  <c r="L5" i="5"/>
  <c r="K5" i="5"/>
  <c r="K4" i="5"/>
  <c r="J308" i="5" l="1"/>
  <c r="K308" i="5"/>
  <c r="L240" i="5"/>
  <c r="K240" i="5"/>
  <c r="B72" i="5"/>
  <c r="C159" i="5"/>
  <c r="D159" i="5"/>
  <c r="C72" i="5"/>
  <c r="O12" i="1"/>
  <c r="O11" i="1"/>
  <c r="Q9" i="1"/>
  <c r="P9" i="1"/>
  <c r="P8" i="1"/>
  <c r="C32" i="5" l="1"/>
  <c r="C31" i="5"/>
  <c r="C30" i="5"/>
  <c r="C29" i="5"/>
  <c r="C28" i="5"/>
  <c r="C27" i="5"/>
  <c r="C26" i="5"/>
  <c r="C25" i="5"/>
  <c r="C24" i="5"/>
  <c r="C23" i="5"/>
  <c r="C22" i="5"/>
  <c r="C21" i="5"/>
  <c r="C20" i="5"/>
  <c r="C19" i="5"/>
  <c r="C18" i="5"/>
  <c r="C17" i="5"/>
  <c r="C16" i="5"/>
  <c r="C15" i="5"/>
  <c r="C14" i="5"/>
  <c r="C12" i="5"/>
  <c r="C11" i="5"/>
  <c r="C10" i="5"/>
  <c r="C9" i="5"/>
  <c r="J304" i="5" l="1"/>
  <c r="N304" i="5" s="1"/>
  <c r="J303" i="5"/>
  <c r="N303" i="5" s="1"/>
  <c r="J302" i="5"/>
  <c r="N302" i="5" s="1"/>
  <c r="J301" i="5"/>
  <c r="N301" i="5" s="1"/>
  <c r="J300" i="5"/>
  <c r="N300" i="5" s="1"/>
  <c r="J299" i="5"/>
  <c r="N299" i="5" s="1"/>
  <c r="J298" i="5"/>
  <c r="N298" i="5" s="1"/>
  <c r="J297" i="5"/>
  <c r="N297" i="5" s="1"/>
  <c r="J296" i="5"/>
  <c r="N296" i="5" s="1"/>
  <c r="J295" i="5"/>
  <c r="N295" i="5" s="1"/>
  <c r="J294" i="5"/>
  <c r="N294" i="5" s="1"/>
  <c r="J293" i="5"/>
  <c r="N293" i="5" s="1"/>
  <c r="L36" i="1"/>
  <c r="K36" i="1"/>
  <c r="J36" i="1"/>
  <c r="G36" i="1"/>
  <c r="F36" i="1"/>
  <c r="M9" i="1"/>
  <c r="L9" i="1"/>
  <c r="K9" i="1"/>
  <c r="J9" i="1"/>
  <c r="I8" i="1"/>
  <c r="G9" i="1"/>
  <c r="F9" i="1"/>
  <c r="E8" i="1"/>
  <c r="K234" i="5"/>
  <c r="Q234" i="5" s="1"/>
  <c r="K233" i="5"/>
  <c r="Q233" i="5" s="1"/>
  <c r="K232" i="5"/>
  <c r="Q232" i="5" s="1"/>
  <c r="K231" i="5"/>
  <c r="Q231" i="5" s="1"/>
  <c r="K230" i="5"/>
  <c r="K229" i="5"/>
  <c r="Q229" i="5" s="1"/>
  <c r="K228" i="5"/>
  <c r="Q228" i="5" s="1"/>
  <c r="K227" i="5"/>
  <c r="Q227" i="5" s="1"/>
  <c r="K226" i="5"/>
  <c r="Q226" i="5" s="1"/>
  <c r="K225" i="5"/>
  <c r="K224" i="5"/>
  <c r="Q224" i="5" s="1"/>
  <c r="K223" i="5"/>
  <c r="Q223" i="5" s="1"/>
  <c r="M230" i="5" l="1"/>
  <c r="Q230" i="5"/>
  <c r="L225" i="5"/>
  <c r="Q225" i="5"/>
  <c r="L235" i="5"/>
  <c r="O303" i="5"/>
  <c r="K303" i="5"/>
  <c r="O297" i="5"/>
  <c r="K297" i="5"/>
  <c r="O295" i="5"/>
  <c r="K295" i="5"/>
  <c r="K296" i="5"/>
  <c r="O296" i="5"/>
  <c r="O304" i="5"/>
  <c r="K304" i="5"/>
  <c r="O298" i="5"/>
  <c r="K298" i="5"/>
  <c r="K299" i="5"/>
  <c r="O299" i="5"/>
  <c r="O300" i="5"/>
  <c r="K300" i="5"/>
  <c r="K293" i="5"/>
  <c r="O293" i="5"/>
  <c r="O301" i="5"/>
  <c r="K301" i="5"/>
  <c r="O294" i="5"/>
  <c r="K294" i="5"/>
  <c r="O302" i="5"/>
  <c r="K302" i="5"/>
  <c r="L293" i="5"/>
  <c r="M293" i="5" s="1"/>
  <c r="L302" i="5"/>
  <c r="M302" i="5" s="1"/>
  <c r="L295" i="5"/>
  <c r="M295" i="5" s="1"/>
  <c r="L303" i="5"/>
  <c r="M303" i="5" s="1"/>
  <c r="L301" i="5"/>
  <c r="M301" i="5" s="1"/>
  <c r="L296" i="5"/>
  <c r="M296" i="5" s="1"/>
  <c r="L304" i="5"/>
  <c r="M304" i="5" s="1"/>
  <c r="L294" i="5"/>
  <c r="M294" i="5" s="1"/>
  <c r="L297" i="5"/>
  <c r="M297" i="5" s="1"/>
  <c r="J16" i="6"/>
  <c r="F8" i="1"/>
  <c r="L298" i="5"/>
  <c r="M298" i="5" s="1"/>
  <c r="L299" i="5"/>
  <c r="M299" i="5" s="1"/>
  <c r="L300" i="5"/>
  <c r="M300" i="5" s="1"/>
  <c r="R227" i="5"/>
  <c r="P227" i="5"/>
  <c r="O227" i="5"/>
  <c r="R229" i="5"/>
  <c r="O229" i="5"/>
  <c r="P229" i="5"/>
  <c r="R233" i="5"/>
  <c r="P233" i="5"/>
  <c r="O233" i="5"/>
  <c r="R230" i="5"/>
  <c r="O230" i="5"/>
  <c r="P230" i="5"/>
  <c r="R225" i="5"/>
  <c r="O225" i="5"/>
  <c r="P225" i="5"/>
  <c r="R226" i="5"/>
  <c r="P226" i="5"/>
  <c r="O226" i="5"/>
  <c r="R228" i="5"/>
  <c r="P228" i="5"/>
  <c r="O228" i="5"/>
  <c r="R223" i="5"/>
  <c r="O223" i="5"/>
  <c r="P223" i="5"/>
  <c r="R231" i="5"/>
  <c r="P231" i="5"/>
  <c r="O231" i="5"/>
  <c r="L233" i="5"/>
  <c r="R234" i="5"/>
  <c r="P234" i="5"/>
  <c r="O234" i="5"/>
  <c r="R224" i="5"/>
  <c r="P224" i="5"/>
  <c r="O224" i="5"/>
  <c r="R232" i="5"/>
  <c r="P232" i="5"/>
  <c r="O232" i="5"/>
  <c r="M229" i="5"/>
  <c r="L224" i="5"/>
  <c r="L232" i="5"/>
  <c r="M223" i="5"/>
  <c r="M231" i="5"/>
  <c r="L226" i="5"/>
  <c r="L234" i="5"/>
  <c r="M224" i="5"/>
  <c r="M232" i="5"/>
  <c r="L227" i="5"/>
  <c r="N234" i="5"/>
  <c r="M225" i="5"/>
  <c r="M233" i="5"/>
  <c r="L228" i="5"/>
  <c r="M226" i="5"/>
  <c r="M234" i="5"/>
  <c r="L229" i="5"/>
  <c r="M227" i="5"/>
  <c r="L230" i="5"/>
  <c r="M228" i="5"/>
  <c r="L223" i="5"/>
  <c r="L231" i="5"/>
  <c r="N230" i="5"/>
  <c r="N227" i="5"/>
  <c r="N228" i="5"/>
  <c r="N229" i="5"/>
  <c r="N223" i="5"/>
  <c r="N231" i="5"/>
  <c r="N224" i="5"/>
  <c r="N232" i="5"/>
  <c r="N225" i="5"/>
  <c r="N233" i="5"/>
  <c r="N226" i="5"/>
  <c r="C234" i="5"/>
  <c r="E234" i="5" s="1"/>
  <c r="C233" i="5"/>
  <c r="E233" i="5" s="1"/>
  <c r="C232" i="5"/>
  <c r="E232" i="5" s="1"/>
  <c r="C231" i="5"/>
  <c r="E231" i="5" s="1"/>
  <c r="C230" i="5"/>
  <c r="E230" i="5" s="1"/>
  <c r="C229" i="5"/>
  <c r="E229" i="5" s="1"/>
  <c r="C228" i="5"/>
  <c r="E228" i="5" s="1"/>
  <c r="C227" i="5"/>
  <c r="E227" i="5" s="1"/>
  <c r="C226" i="5"/>
  <c r="E226" i="5" s="1"/>
  <c r="C225" i="5"/>
  <c r="E225" i="5" s="1"/>
  <c r="C224" i="5"/>
  <c r="E224" i="5" s="1"/>
  <c r="C223" i="5"/>
  <c r="E223" i="5" s="1"/>
  <c r="I170" i="5" l="1"/>
  <c r="K18" i="5" l="1"/>
  <c r="G8" i="5"/>
  <c r="F8" i="5"/>
  <c r="E8" i="5"/>
  <c r="C70" i="5" s="1"/>
  <c r="D8" i="5"/>
  <c r="C8" i="5"/>
  <c r="G32" i="5"/>
  <c r="G31" i="5"/>
  <c r="G30" i="5"/>
  <c r="G29" i="5"/>
  <c r="G28" i="5"/>
  <c r="G27" i="5"/>
  <c r="G26" i="5"/>
  <c r="G25" i="5"/>
  <c r="G24" i="5"/>
  <c r="G23" i="5"/>
  <c r="G22" i="5"/>
  <c r="G21" i="5"/>
  <c r="G20" i="5"/>
  <c r="G19" i="5"/>
  <c r="G18" i="5"/>
  <c r="G17" i="5"/>
  <c r="G16" i="5"/>
  <c r="G15" i="5"/>
  <c r="G14" i="5"/>
  <c r="G12" i="5"/>
  <c r="G11" i="5"/>
  <c r="G10" i="5"/>
  <c r="G9" i="5"/>
  <c r="F32" i="5"/>
  <c r="E32" i="5"/>
  <c r="D32" i="5"/>
  <c r="F31" i="5"/>
  <c r="E31" i="5"/>
  <c r="D31" i="5"/>
  <c r="F30" i="5"/>
  <c r="E30" i="5"/>
  <c r="D30" i="5"/>
  <c r="F29" i="5"/>
  <c r="E29" i="5"/>
  <c r="D29" i="5"/>
  <c r="F28" i="5"/>
  <c r="E28" i="5"/>
  <c r="D28" i="5"/>
  <c r="F27" i="5"/>
  <c r="E27" i="5"/>
  <c r="D27" i="5"/>
  <c r="F26" i="5"/>
  <c r="E26" i="5"/>
  <c r="D26" i="5"/>
  <c r="F25" i="5"/>
  <c r="E25" i="5"/>
  <c r="D25" i="5"/>
  <c r="F24" i="5"/>
  <c r="E24" i="5"/>
  <c r="D24" i="5"/>
  <c r="F23" i="5"/>
  <c r="E23" i="5"/>
  <c r="D23" i="5"/>
  <c r="F22" i="5"/>
  <c r="E22" i="5"/>
  <c r="D22" i="5"/>
  <c r="F21" i="5"/>
  <c r="E21" i="5"/>
  <c r="D21" i="5"/>
  <c r="F20" i="5"/>
  <c r="E20" i="5"/>
  <c r="D20" i="5"/>
  <c r="F19" i="5"/>
  <c r="E19" i="5"/>
  <c r="D19" i="5"/>
  <c r="F18" i="5"/>
  <c r="E18" i="5"/>
  <c r="D18" i="5"/>
  <c r="F17" i="5"/>
  <c r="E17" i="5"/>
  <c r="D17" i="5"/>
  <c r="F16" i="5"/>
  <c r="E16" i="5"/>
  <c r="D16" i="5"/>
  <c r="F15" i="5"/>
  <c r="E15" i="5"/>
  <c r="D15" i="5"/>
  <c r="F14" i="5"/>
  <c r="E14" i="5"/>
  <c r="D14" i="5"/>
  <c r="F12" i="5"/>
  <c r="E12" i="5"/>
  <c r="D12" i="5"/>
  <c r="F11" i="5"/>
  <c r="E11" i="5"/>
  <c r="D11" i="5"/>
  <c r="F10" i="5"/>
  <c r="E10" i="5"/>
  <c r="D10" i="5"/>
  <c r="F9" i="5"/>
  <c r="E9" i="5"/>
  <c r="D9" i="5"/>
  <c r="G6" i="5"/>
  <c r="F6" i="5"/>
  <c r="E6" i="5"/>
  <c r="D6" i="5"/>
  <c r="D4" i="5"/>
  <c r="C4" i="5"/>
  <c r="B264" i="5" l="1"/>
  <c r="D248" i="5"/>
  <c r="F263" i="5"/>
  <c r="B263" i="5"/>
  <c r="F264" i="5"/>
  <c r="B70" i="5"/>
  <c r="D157" i="5"/>
  <c r="C71" i="5"/>
  <c r="C74" i="5"/>
  <c r="B74" i="5"/>
  <c r="D33" i="5"/>
  <c r="E33" i="5"/>
  <c r="F33" i="5"/>
  <c r="C130" i="5"/>
  <c r="C126" i="5"/>
  <c r="C85" i="5"/>
  <c r="C89" i="5"/>
  <c r="C43" i="5"/>
  <c r="C39" i="5"/>
  <c r="K278" i="5" l="1"/>
  <c r="O276" i="5"/>
  <c r="K276" i="5"/>
  <c r="K277" i="5"/>
  <c r="D343" i="5"/>
  <c r="N276" i="5"/>
  <c r="N277" i="5"/>
  <c r="J276" i="5"/>
  <c r="M276" i="5"/>
  <c r="L277" i="5"/>
  <c r="L276" i="5"/>
  <c r="D291" i="5"/>
  <c r="E341" i="5"/>
  <c r="E290" i="5"/>
  <c r="E342" i="5"/>
  <c r="D342" i="5"/>
  <c r="F291" i="5"/>
  <c r="D290" i="5"/>
  <c r="F342" i="5"/>
  <c r="C341" i="5"/>
  <c r="F290" i="5"/>
  <c r="G341" i="5"/>
  <c r="E291" i="5"/>
  <c r="C290" i="5"/>
  <c r="D341" i="5"/>
  <c r="C369" i="5"/>
  <c r="C361" i="5"/>
  <c r="C352" i="5"/>
  <c r="C358" i="5"/>
  <c r="C365" i="5"/>
  <c r="C364" i="5"/>
  <c r="C347" i="5"/>
  <c r="C346" i="5"/>
  <c r="C345" i="5"/>
  <c r="C368" i="5"/>
  <c r="C360" i="5"/>
  <c r="C351" i="5"/>
  <c r="C350" i="5"/>
  <c r="C366" i="5"/>
  <c r="C356" i="5"/>
  <c r="C355" i="5"/>
  <c r="C363" i="5"/>
  <c r="C353" i="5"/>
  <c r="C367" i="5"/>
  <c r="C359" i="5"/>
  <c r="C357" i="5"/>
  <c r="C348" i="5"/>
  <c r="C354" i="5"/>
  <c r="C362" i="5"/>
  <c r="C349" i="5"/>
  <c r="C311" i="5"/>
  <c r="C303" i="5"/>
  <c r="C296" i="5"/>
  <c r="C300" i="5"/>
  <c r="C299" i="5"/>
  <c r="C314" i="5"/>
  <c r="C313" i="5"/>
  <c r="C312" i="5"/>
  <c r="C318" i="5"/>
  <c r="C310" i="5"/>
  <c r="C302" i="5"/>
  <c r="C308" i="5"/>
  <c r="C315" i="5"/>
  <c r="C306" i="5"/>
  <c r="C305" i="5"/>
  <c r="C304" i="5"/>
  <c r="C317" i="5"/>
  <c r="C309" i="5"/>
  <c r="C301" i="5"/>
  <c r="C316" i="5"/>
  <c r="C307" i="5"/>
  <c r="C298" i="5"/>
  <c r="C297" i="5"/>
  <c r="C295" i="5"/>
  <c r="C294" i="5"/>
  <c r="J286" i="5"/>
  <c r="K216" i="5"/>
  <c r="K215" i="5"/>
  <c r="J291" i="5"/>
  <c r="K221" i="5"/>
  <c r="K218" i="5"/>
  <c r="J285" i="5"/>
  <c r="J292" i="5"/>
  <c r="K222" i="5"/>
  <c r="K217" i="5"/>
  <c r="J290" i="5"/>
  <c r="K220" i="5"/>
  <c r="J289" i="5"/>
  <c r="K219" i="5"/>
  <c r="J288" i="5"/>
  <c r="J287" i="5"/>
  <c r="C217" i="5"/>
  <c r="C215" i="5"/>
  <c r="C222" i="5"/>
  <c r="C218" i="5"/>
  <c r="C216" i="5"/>
  <c r="C219" i="5"/>
  <c r="C221" i="5"/>
  <c r="C220" i="5"/>
  <c r="J281" i="5"/>
  <c r="J283" i="5"/>
  <c r="J280" i="5"/>
  <c r="J284" i="5"/>
  <c r="J282" i="5"/>
  <c r="C210" i="5"/>
  <c r="K210" i="5"/>
  <c r="K212" i="5"/>
  <c r="K211" i="5"/>
  <c r="K214" i="5"/>
  <c r="K213" i="5"/>
  <c r="O206" i="5"/>
  <c r="M206" i="5"/>
  <c r="K206" i="5"/>
  <c r="P207" i="5"/>
  <c r="L206" i="5"/>
  <c r="P206" i="5"/>
  <c r="R206" i="5"/>
  <c r="Q206" i="5"/>
  <c r="L208" i="5"/>
  <c r="M208" i="5"/>
  <c r="L207" i="5"/>
  <c r="M207" i="5"/>
  <c r="C213" i="5"/>
  <c r="C212" i="5"/>
  <c r="C211" i="5"/>
  <c r="C214" i="5"/>
  <c r="G206" i="5"/>
  <c r="D207" i="5"/>
  <c r="D206" i="5"/>
  <c r="F207" i="5"/>
  <c r="C206" i="5"/>
  <c r="F206" i="5"/>
  <c r="H206" i="5"/>
  <c r="E207" i="5"/>
  <c r="E206" i="5"/>
  <c r="D208" i="5"/>
  <c r="J190" i="5"/>
  <c r="J182" i="5"/>
  <c r="J174" i="5"/>
  <c r="D168" i="5"/>
  <c r="J188" i="5"/>
  <c r="J180" i="5"/>
  <c r="J186" i="5"/>
  <c r="E169" i="5"/>
  <c r="G168" i="5"/>
  <c r="J189" i="5"/>
  <c r="J181" i="5"/>
  <c r="J173" i="5"/>
  <c r="G169" i="5"/>
  <c r="J196" i="5"/>
  <c r="J172" i="5"/>
  <c r="J178" i="5"/>
  <c r="J183" i="5"/>
  <c r="F169" i="5"/>
  <c r="C168" i="5"/>
  <c r="J195" i="5"/>
  <c r="J187" i="5"/>
  <c r="J179" i="5"/>
  <c r="F168" i="5"/>
  <c r="J194" i="5"/>
  <c r="J175" i="5"/>
  <c r="E168" i="5"/>
  <c r="J193" i="5"/>
  <c r="J185" i="5"/>
  <c r="J177" i="5"/>
  <c r="E170" i="5"/>
  <c r="J192" i="5"/>
  <c r="J184" i="5"/>
  <c r="J176" i="5"/>
  <c r="J191" i="5"/>
  <c r="N169" i="5"/>
  <c r="L170" i="5"/>
  <c r="M168" i="5"/>
  <c r="K168" i="5"/>
  <c r="L169" i="5"/>
  <c r="O169" i="5"/>
  <c r="O168" i="5"/>
  <c r="N170" i="5"/>
  <c r="J168" i="5"/>
  <c r="D89" i="5"/>
  <c r="E89" i="5" s="1"/>
  <c r="K25" i="5"/>
  <c r="K24" i="5"/>
  <c r="K23" i="5"/>
  <c r="K26" i="5"/>
  <c r="D43" i="5"/>
  <c r="B16" i="6"/>
  <c r="F89" i="5"/>
  <c r="G89" i="5" s="1"/>
  <c r="C3" i="6"/>
  <c r="B262" i="5"/>
  <c r="F262" i="5"/>
  <c r="B276" i="5"/>
  <c r="D276" i="5"/>
  <c r="F3" i="6"/>
  <c r="B251" i="5"/>
  <c r="B252" i="5"/>
  <c r="D130" i="5"/>
  <c r="E130" i="5" s="1"/>
  <c r="C8" i="6"/>
  <c r="E3" i="6"/>
  <c r="C6" i="6"/>
  <c r="D9" i="6"/>
  <c r="G17" i="6"/>
  <c r="H3" i="6"/>
  <c r="F8" i="6"/>
  <c r="F6" i="6"/>
  <c r="D7" i="6"/>
  <c r="C276" i="5"/>
  <c r="E17" i="6"/>
  <c r="C9" i="6"/>
  <c r="F7" i="6"/>
  <c r="D6" i="6"/>
  <c r="H4" i="6"/>
  <c r="K17" i="6"/>
  <c r="I17" i="6"/>
  <c r="C7" i="6"/>
  <c r="E4" i="6"/>
  <c r="B3" i="6"/>
  <c r="F9" i="6"/>
  <c r="D8" i="6"/>
  <c r="B266" i="5"/>
  <c r="C251" i="5"/>
  <c r="D277" i="5"/>
  <c r="D251" i="5"/>
  <c r="C266" i="5"/>
  <c r="B277" i="5"/>
  <c r="C252" i="5"/>
  <c r="D252" i="5"/>
  <c r="F266" i="5"/>
  <c r="C331" i="5" l="1"/>
  <c r="C327" i="5"/>
  <c r="D238" i="5"/>
  <c r="D326" i="5"/>
  <c r="C375" i="5"/>
  <c r="C374" i="5"/>
  <c r="C328" i="5"/>
  <c r="C336" i="5"/>
  <c r="C335" i="5"/>
  <c r="C330" i="5"/>
  <c r="C332" i="5"/>
  <c r="C326" i="5"/>
  <c r="D323" i="5"/>
  <c r="C324" i="5"/>
  <c r="C323" i="5"/>
  <c r="C322" i="5"/>
  <c r="C238" i="5"/>
  <c r="D210" i="5"/>
  <c r="C242" i="5"/>
  <c r="C241" i="5"/>
  <c r="C76" i="5"/>
  <c r="C75" i="5"/>
  <c r="D121" i="5"/>
  <c r="D122" i="5"/>
  <c r="E43" i="5"/>
  <c r="F43" i="5" s="1"/>
  <c r="D345" i="5"/>
  <c r="N235" i="5"/>
  <c r="M235" i="5"/>
  <c r="L284" i="5"/>
  <c r="M284" i="5" s="1"/>
  <c r="N284" i="5" s="1"/>
  <c r="K284" i="5"/>
  <c r="K289" i="5"/>
  <c r="K288" i="5"/>
  <c r="K291" i="5"/>
  <c r="L280" i="5"/>
  <c r="K280" i="5"/>
  <c r="K290" i="5"/>
  <c r="L283" i="5"/>
  <c r="M283" i="5" s="1"/>
  <c r="K283" i="5"/>
  <c r="K281" i="5"/>
  <c r="K286" i="5"/>
  <c r="K287" i="5"/>
  <c r="K292" i="5"/>
  <c r="K285" i="5"/>
  <c r="L282" i="5"/>
  <c r="M282" i="5" s="1"/>
  <c r="K282" i="5"/>
  <c r="L281" i="5"/>
  <c r="M281" i="5" s="1"/>
  <c r="L286" i="5"/>
  <c r="M286" i="5" s="1"/>
  <c r="L287" i="5"/>
  <c r="M287" i="5" s="1"/>
  <c r="L292" i="5"/>
  <c r="M292" i="5" s="1"/>
  <c r="L288" i="5"/>
  <c r="M288" i="5" s="1"/>
  <c r="L285" i="5"/>
  <c r="M285" i="5" s="1"/>
  <c r="L289" i="5"/>
  <c r="M289" i="5" s="1"/>
  <c r="L291" i="5"/>
  <c r="M291" i="5" s="1"/>
  <c r="L290" i="5"/>
  <c r="M290" i="5" s="1"/>
  <c r="L219" i="5"/>
  <c r="M219" i="5"/>
  <c r="N219" i="5"/>
  <c r="M218" i="5"/>
  <c r="L218" i="5"/>
  <c r="N218" i="5"/>
  <c r="N221" i="5"/>
  <c r="M221" i="5"/>
  <c r="L221" i="5"/>
  <c r="L220" i="5"/>
  <c r="N220" i="5"/>
  <c r="M220" i="5"/>
  <c r="M215" i="5"/>
  <c r="N215" i="5"/>
  <c r="L215" i="5"/>
  <c r="L217" i="5"/>
  <c r="N217" i="5"/>
  <c r="M217" i="5"/>
  <c r="M216" i="5"/>
  <c r="N216" i="5"/>
  <c r="L216" i="5"/>
  <c r="M222" i="5"/>
  <c r="N222" i="5"/>
  <c r="L222" i="5"/>
  <c r="L213" i="5"/>
  <c r="M213" i="5"/>
  <c r="L214" i="5"/>
  <c r="M214" i="5"/>
  <c r="M211" i="5"/>
  <c r="L211" i="5"/>
  <c r="M212" i="5"/>
  <c r="L212" i="5"/>
  <c r="N210" i="5"/>
  <c r="M210" i="5"/>
  <c r="L210" i="5"/>
  <c r="N214" i="5"/>
  <c r="N211" i="5"/>
  <c r="N212" i="5"/>
  <c r="N213" i="5"/>
  <c r="L176" i="5"/>
  <c r="K176" i="5"/>
  <c r="L185" i="5"/>
  <c r="O185" i="5" s="1"/>
  <c r="K185" i="5"/>
  <c r="E172" i="5"/>
  <c r="D172" i="5"/>
  <c r="L192" i="5"/>
  <c r="O192" i="5" s="1"/>
  <c r="K192" i="5"/>
  <c r="L193" i="5"/>
  <c r="O193" i="5" s="1"/>
  <c r="K193" i="5"/>
  <c r="K174" i="5"/>
  <c r="L174" i="5"/>
  <c r="L184" i="5"/>
  <c r="K184" i="5"/>
  <c r="L191" i="5"/>
  <c r="O191" i="5" s="1"/>
  <c r="K191" i="5"/>
  <c r="L183" i="5"/>
  <c r="K183" i="5"/>
  <c r="K173" i="5"/>
  <c r="L173" i="5"/>
  <c r="L180" i="5"/>
  <c r="K180" i="5"/>
  <c r="L182" i="5"/>
  <c r="K182" i="5"/>
  <c r="L175" i="5"/>
  <c r="K175" i="5"/>
  <c r="L178" i="5"/>
  <c r="K178" i="5"/>
  <c r="K181" i="5"/>
  <c r="L181" i="5"/>
  <c r="L188" i="5"/>
  <c r="O188" i="5" s="1"/>
  <c r="K188" i="5"/>
  <c r="K190" i="5"/>
  <c r="L190" i="5"/>
  <c r="O190" i="5" s="1"/>
  <c r="K179" i="5"/>
  <c r="L179" i="5"/>
  <c r="L172" i="5"/>
  <c r="K172" i="5"/>
  <c r="K189" i="5"/>
  <c r="L189" i="5"/>
  <c r="O189" i="5" s="1"/>
  <c r="K187" i="5"/>
  <c r="L187" i="5"/>
  <c r="O187" i="5" s="1"/>
  <c r="L196" i="5"/>
  <c r="O196" i="5" s="1"/>
  <c r="K196" i="5"/>
  <c r="L177" i="5"/>
  <c r="K177" i="5"/>
  <c r="L194" i="5"/>
  <c r="O194" i="5" s="1"/>
  <c r="K194" i="5"/>
  <c r="K195" i="5"/>
  <c r="L195" i="5"/>
  <c r="O195" i="5" s="1"/>
  <c r="L186" i="5"/>
  <c r="O186" i="5" s="1"/>
  <c r="K186" i="5"/>
  <c r="E8" i="6"/>
  <c r="F10" i="6"/>
  <c r="C10" i="6"/>
  <c r="D266" i="5"/>
  <c r="E9" i="6"/>
  <c r="E251" i="5"/>
  <c r="E252" i="5"/>
  <c r="E7" i="6"/>
  <c r="E6" i="6"/>
  <c r="D10" i="6"/>
  <c r="D369" i="5"/>
  <c r="D366" i="5"/>
  <c r="D361" i="5"/>
  <c r="D359" i="5"/>
  <c r="D358" i="5"/>
  <c r="D353" i="5"/>
  <c r="D350" i="5"/>
  <c r="D256" i="5" l="1"/>
  <c r="C80" i="5"/>
  <c r="C79" i="5"/>
  <c r="D257" i="5"/>
  <c r="O215" i="5"/>
  <c r="O216" i="5"/>
  <c r="N287" i="5"/>
  <c r="N291" i="5"/>
  <c r="N292" i="5"/>
  <c r="O292" i="5" s="1"/>
  <c r="N286" i="5"/>
  <c r="O286" i="5" s="1"/>
  <c r="N289" i="5"/>
  <c r="O289" i="5" s="1"/>
  <c r="N285" i="5"/>
  <c r="O285" i="5" s="1"/>
  <c r="N288" i="5"/>
  <c r="O288" i="5" s="1"/>
  <c r="N290" i="5"/>
  <c r="N281" i="5"/>
  <c r="O281" i="5" s="1"/>
  <c r="N283" i="5"/>
  <c r="O283" i="5" s="1"/>
  <c r="N282" i="5"/>
  <c r="O282" i="5" s="1"/>
  <c r="M280" i="5"/>
  <c r="N280" i="5" s="1"/>
  <c r="K305" i="5"/>
  <c r="L305" i="5" s="1"/>
  <c r="O235" i="5"/>
  <c r="O284" i="5"/>
  <c r="O222" i="5"/>
  <c r="O217" i="5"/>
  <c r="O220" i="5"/>
  <c r="O219" i="5"/>
  <c r="O221" i="5"/>
  <c r="O211" i="5"/>
  <c r="O218" i="5"/>
  <c r="O213" i="5"/>
  <c r="O214" i="5"/>
  <c r="O210" i="5"/>
  <c r="O212" i="5"/>
  <c r="N191" i="5"/>
  <c r="M191" i="5"/>
  <c r="M177" i="5"/>
  <c r="N177" i="5"/>
  <c r="M172" i="5"/>
  <c r="N172" i="5"/>
  <c r="K197" i="5"/>
  <c r="M180" i="5"/>
  <c r="N180" i="5"/>
  <c r="N184" i="5"/>
  <c r="M184" i="5"/>
  <c r="N194" i="5"/>
  <c r="M194" i="5"/>
  <c r="L197" i="5"/>
  <c r="N181" i="5"/>
  <c r="M181" i="5"/>
  <c r="N189" i="5"/>
  <c r="M189" i="5"/>
  <c r="N186" i="5"/>
  <c r="M186" i="5"/>
  <c r="M196" i="5"/>
  <c r="N196" i="5"/>
  <c r="N178" i="5"/>
  <c r="M178" i="5"/>
  <c r="M185" i="5"/>
  <c r="N185" i="5"/>
  <c r="N192" i="5"/>
  <c r="M192" i="5"/>
  <c r="M179" i="5"/>
  <c r="N179" i="5"/>
  <c r="N173" i="5"/>
  <c r="M173" i="5"/>
  <c r="N174" i="5"/>
  <c r="M174" i="5"/>
  <c r="N182" i="5"/>
  <c r="M182" i="5"/>
  <c r="N175" i="5"/>
  <c r="M175" i="5"/>
  <c r="N183" i="5"/>
  <c r="M183" i="5"/>
  <c r="M193" i="5"/>
  <c r="N193" i="5"/>
  <c r="N176" i="5"/>
  <c r="M176" i="5"/>
  <c r="N188" i="5"/>
  <c r="M188" i="5"/>
  <c r="M195" i="5"/>
  <c r="N195" i="5"/>
  <c r="M187" i="5"/>
  <c r="N187" i="5"/>
  <c r="N190" i="5"/>
  <c r="M190" i="5"/>
  <c r="F251" i="5"/>
  <c r="E266" i="5" s="1"/>
  <c r="D270" i="5" s="1"/>
  <c r="E10" i="6"/>
  <c r="D351" i="5"/>
  <c r="D367" i="5"/>
  <c r="D352" i="5"/>
  <c r="D360" i="5"/>
  <c r="D368" i="5"/>
  <c r="D354" i="5"/>
  <c r="D355" i="5"/>
  <c r="D348" i="5"/>
  <c r="D356" i="5"/>
  <c r="D364" i="5"/>
  <c r="D346" i="5"/>
  <c r="D362" i="5"/>
  <c r="D347" i="5"/>
  <c r="D363" i="5"/>
  <c r="D349" i="5"/>
  <c r="D357" i="5"/>
  <c r="D365" i="5"/>
  <c r="K311" i="5" l="1"/>
  <c r="K312" i="5"/>
  <c r="K200" i="5"/>
  <c r="K201" i="5"/>
  <c r="D271" i="5"/>
  <c r="D370" i="5"/>
  <c r="O280" i="5"/>
  <c r="N305" i="5"/>
  <c r="O305" i="5" s="1"/>
  <c r="O287" i="5"/>
  <c r="O291" i="5"/>
  <c r="O290" i="5"/>
  <c r="O183" i="5"/>
  <c r="P221" i="5" s="1"/>
  <c r="O178" i="5"/>
  <c r="P216" i="5" s="1"/>
  <c r="O181" i="5"/>
  <c r="P219" i="5" s="1"/>
  <c r="O179" i="5"/>
  <c r="P217" i="5" s="1"/>
  <c r="O182" i="5"/>
  <c r="P220" i="5" s="1"/>
  <c r="O177" i="5"/>
  <c r="P215" i="5" s="1"/>
  <c r="O184" i="5"/>
  <c r="P222" i="5" s="1"/>
  <c r="O180" i="5"/>
  <c r="P218" i="5" s="1"/>
  <c r="O172" i="5"/>
  <c r="P210" i="5" s="1"/>
  <c r="Q210" i="5" s="1"/>
  <c r="O175" i="5"/>
  <c r="O174" i="5"/>
  <c r="P212" i="5" s="1"/>
  <c r="Q212" i="5" s="1"/>
  <c r="O173" i="5"/>
  <c r="P211" i="5" s="1"/>
  <c r="Q211" i="5" s="1"/>
  <c r="O176" i="5"/>
  <c r="P214" i="5" s="1"/>
  <c r="Q214" i="5" s="1"/>
  <c r="N197" i="5"/>
  <c r="M197" i="5"/>
  <c r="G266" i="5"/>
  <c r="G8" i="6" s="1"/>
  <c r="H8" i="6" s="1"/>
  <c r="L244" i="5" l="1"/>
  <c r="L243" i="5"/>
  <c r="Q216" i="5"/>
  <c r="R216" i="5" s="1"/>
  <c r="Q217" i="5"/>
  <c r="R217" i="5" s="1"/>
  <c r="Q220" i="5"/>
  <c r="R220" i="5" s="1"/>
  <c r="Q215" i="5"/>
  <c r="R215" i="5" s="1"/>
  <c r="Q219" i="5"/>
  <c r="R219" i="5" s="1"/>
  <c r="Q221" i="5"/>
  <c r="R221" i="5" s="1"/>
  <c r="Q218" i="5"/>
  <c r="R218" i="5" s="1"/>
  <c r="Q222" i="5"/>
  <c r="R222" i="5" s="1"/>
  <c r="P213" i="5"/>
  <c r="O197" i="5"/>
  <c r="R210" i="5"/>
  <c r="R214" i="5"/>
  <c r="R211" i="5"/>
  <c r="R212" i="5"/>
  <c r="Q213" i="5" l="1"/>
  <c r="R213" i="5" s="1"/>
  <c r="B128" i="5"/>
  <c r="B87" i="5"/>
  <c r="B41" i="5"/>
  <c r="Q235" i="5" l="1"/>
  <c r="R235" i="5" s="1"/>
  <c r="C280" i="5"/>
  <c r="B280" i="5"/>
  <c r="D284" i="5" l="1"/>
  <c r="D285" i="5"/>
  <c r="D280" i="5"/>
  <c r="G9" i="6" s="1"/>
  <c r="H9" i="6" s="1"/>
  <c r="D234" i="5"/>
  <c r="H234" i="5" s="1"/>
  <c r="I43" i="6" s="1"/>
  <c r="G233" i="5"/>
  <c r="H42" i="6" s="1"/>
  <c r="D231" i="5"/>
  <c r="H231" i="5" s="1"/>
  <c r="I40" i="6" s="1"/>
  <c r="G230" i="5"/>
  <c r="H39" i="6" s="1"/>
  <c r="F229" i="5"/>
  <c r="G228" i="5"/>
  <c r="H37" i="6" s="1"/>
  <c r="D227" i="5"/>
  <c r="H227" i="5" s="1"/>
  <c r="I36" i="6" s="1"/>
  <c r="D226" i="5"/>
  <c r="H226" i="5" s="1"/>
  <c r="I35" i="6" s="1"/>
  <c r="G225" i="5"/>
  <c r="H34" i="6" s="1"/>
  <c r="F224" i="5"/>
  <c r="D223" i="5"/>
  <c r="H223" i="5" s="1"/>
  <c r="I32" i="6" s="1"/>
  <c r="D222" i="5"/>
  <c r="D221" i="5"/>
  <c r="D220" i="5"/>
  <c r="D219" i="5"/>
  <c r="D218" i="5"/>
  <c r="D217" i="5"/>
  <c r="D216" i="5"/>
  <c r="D215" i="5"/>
  <c r="D214" i="5"/>
  <c r="D213" i="5"/>
  <c r="D212" i="5"/>
  <c r="D211" i="5"/>
  <c r="E196" i="5"/>
  <c r="D195" i="5"/>
  <c r="D194" i="5"/>
  <c r="E193" i="5"/>
  <c r="D192" i="5"/>
  <c r="E191" i="5"/>
  <c r="E190" i="5"/>
  <c r="D189" i="5"/>
  <c r="D188" i="5"/>
  <c r="D187" i="5"/>
  <c r="E186" i="5"/>
  <c r="D185" i="5"/>
  <c r="E184" i="5"/>
  <c r="E183" i="5"/>
  <c r="E182" i="5"/>
  <c r="E181" i="5"/>
  <c r="D180" i="5"/>
  <c r="E179" i="5"/>
  <c r="E178" i="5"/>
  <c r="D177" i="5"/>
  <c r="E176" i="5"/>
  <c r="E175" i="5"/>
  <c r="E174" i="5"/>
  <c r="D173" i="5"/>
  <c r="C154" i="5"/>
  <c r="G154" i="5" s="1"/>
  <c r="C153" i="5"/>
  <c r="G153" i="5" s="1"/>
  <c r="C152" i="5"/>
  <c r="G152" i="5" s="1"/>
  <c r="C151" i="5"/>
  <c r="G151" i="5" s="1"/>
  <c r="C150" i="5"/>
  <c r="G150" i="5" s="1"/>
  <c r="C149" i="5"/>
  <c r="G149" i="5" s="1"/>
  <c r="C148" i="5"/>
  <c r="G148" i="5" s="1"/>
  <c r="C147" i="5"/>
  <c r="G147" i="5" s="1"/>
  <c r="C146" i="5"/>
  <c r="G146" i="5" s="1"/>
  <c r="C145" i="5"/>
  <c r="G145" i="5" s="1"/>
  <c r="C144" i="5"/>
  <c r="G144" i="5" s="1"/>
  <c r="C143" i="5"/>
  <c r="G143" i="5" s="1"/>
  <c r="C142" i="5"/>
  <c r="C141" i="5"/>
  <c r="C140" i="5"/>
  <c r="C139" i="5"/>
  <c r="C138" i="5"/>
  <c r="C137" i="5"/>
  <c r="C136" i="5"/>
  <c r="D136" i="5" s="1"/>
  <c r="C135" i="5"/>
  <c r="D135" i="5" s="1"/>
  <c r="C134" i="5"/>
  <c r="D134" i="5" s="1"/>
  <c r="C133" i="5"/>
  <c r="C132" i="5"/>
  <c r="C131" i="5"/>
  <c r="F311" i="5" l="1"/>
  <c r="E362" i="5" s="1"/>
  <c r="F362" i="5" s="1"/>
  <c r="J36" i="6" s="1"/>
  <c r="E311" i="5"/>
  <c r="E314" i="5"/>
  <c r="F314" i="5"/>
  <c r="E365" i="5" s="1"/>
  <c r="F365" i="5" s="1"/>
  <c r="J39" i="6" s="1"/>
  <c r="E307" i="5"/>
  <c r="F307" i="5"/>
  <c r="E358" i="5" s="1"/>
  <c r="F358" i="5" s="1"/>
  <c r="J32" i="6" s="1"/>
  <c r="F309" i="5"/>
  <c r="E360" i="5" s="1"/>
  <c r="F360" i="5" s="1"/>
  <c r="J34" i="6" s="1"/>
  <c r="E309" i="5"/>
  <c r="F317" i="5"/>
  <c r="E368" i="5" s="1"/>
  <c r="F368" i="5" s="1"/>
  <c r="J42" i="6" s="1"/>
  <c r="E317" i="5"/>
  <c r="F310" i="5"/>
  <c r="E361" i="5" s="1"/>
  <c r="F361" i="5" s="1"/>
  <c r="J35" i="6" s="1"/>
  <c r="E310" i="5"/>
  <c r="E143" i="5"/>
  <c r="F32" i="6"/>
  <c r="E151" i="5"/>
  <c r="F40" i="6"/>
  <c r="E152" i="5"/>
  <c r="F38" i="6"/>
  <c r="E149" i="5"/>
  <c r="E150" i="5"/>
  <c r="F39" i="6"/>
  <c r="E153" i="5"/>
  <c r="F42" i="6"/>
  <c r="F35" i="6"/>
  <c r="E146" i="5"/>
  <c r="F43" i="6"/>
  <c r="E154" i="5"/>
  <c r="F34" i="6"/>
  <c r="E145" i="5"/>
  <c r="F33" i="6"/>
  <c r="E144" i="5"/>
  <c r="F36" i="6"/>
  <c r="E147" i="5"/>
  <c r="E148" i="5"/>
  <c r="F37" i="6"/>
  <c r="D181" i="5"/>
  <c r="F181" i="5" s="1"/>
  <c r="D303" i="5" s="1"/>
  <c r="E194" i="5"/>
  <c r="F194" i="5" s="1"/>
  <c r="D316" i="5" s="1"/>
  <c r="F316" i="5" s="1"/>
  <c r="E367" i="5" s="1"/>
  <c r="F367" i="5" s="1"/>
  <c r="J41" i="6" s="1"/>
  <c r="D178" i="5"/>
  <c r="F178" i="5" s="1"/>
  <c r="D300" i="5" s="1"/>
  <c r="D186" i="5"/>
  <c r="F186" i="5" s="1"/>
  <c r="D308" i="5" s="1"/>
  <c r="E189" i="5"/>
  <c r="F189" i="5" s="1"/>
  <c r="D311" i="5" s="1"/>
  <c r="E173" i="5"/>
  <c r="D184" i="5"/>
  <c r="F184" i="5" s="1"/>
  <c r="D306" i="5" s="1"/>
  <c r="E185" i="5"/>
  <c r="F185" i="5" s="1"/>
  <c r="D307" i="5" s="1"/>
  <c r="E192" i="5"/>
  <c r="D176" i="5"/>
  <c r="F176" i="5" s="1"/>
  <c r="D298" i="5" s="1"/>
  <c r="E180" i="5"/>
  <c r="F180" i="5" s="1"/>
  <c r="D302" i="5" s="1"/>
  <c r="E195" i="5"/>
  <c r="E188" i="5"/>
  <c r="F188" i="5" s="1"/>
  <c r="D310" i="5" s="1"/>
  <c r="D196" i="5"/>
  <c r="F196" i="5" s="1"/>
  <c r="D318" i="5" s="1"/>
  <c r="D179" i="5"/>
  <c r="F179" i="5" s="1"/>
  <c r="D301" i="5" s="1"/>
  <c r="D230" i="5"/>
  <c r="H230" i="5" s="1"/>
  <c r="I39" i="6" s="1"/>
  <c r="G234" i="5"/>
  <c r="H43" i="6" s="1"/>
  <c r="D233" i="5"/>
  <c r="H233" i="5" s="1"/>
  <c r="I42" i="6" s="1"/>
  <c r="F223" i="5"/>
  <c r="F225" i="5"/>
  <c r="F226" i="5"/>
  <c r="F228" i="5"/>
  <c r="F231" i="5"/>
  <c r="D225" i="5"/>
  <c r="H225" i="5" s="1"/>
  <c r="I34" i="6" s="1"/>
  <c r="G226" i="5"/>
  <c r="H35" i="6" s="1"/>
  <c r="F233" i="5"/>
  <c r="D228" i="5"/>
  <c r="H228" i="5" s="1"/>
  <c r="I37" i="6" s="1"/>
  <c r="G229" i="5"/>
  <c r="H38" i="6" s="1"/>
  <c r="F234" i="5"/>
  <c r="D229" i="5"/>
  <c r="H229" i="5" s="1"/>
  <c r="I38" i="6" s="1"/>
  <c r="G223" i="5"/>
  <c r="H32" i="6" s="1"/>
  <c r="G231" i="5"/>
  <c r="H40" i="6" s="1"/>
  <c r="F227" i="5"/>
  <c r="G224" i="5"/>
  <c r="H33" i="6" s="1"/>
  <c r="D193" i="5"/>
  <c r="F193" i="5" s="1"/>
  <c r="D315" i="5" s="1"/>
  <c r="E177" i="5"/>
  <c r="F177" i="5" s="1"/>
  <c r="D299" i="5" s="1"/>
  <c r="E187" i="5"/>
  <c r="F187" i="5" s="1"/>
  <c r="D309" i="5" s="1"/>
  <c r="D224" i="5"/>
  <c r="H224" i="5" s="1"/>
  <c r="I33" i="6" s="1"/>
  <c r="D232" i="5"/>
  <c r="H232" i="5" s="1"/>
  <c r="I41" i="6" s="1"/>
  <c r="F230" i="5"/>
  <c r="G227" i="5"/>
  <c r="H36" i="6" s="1"/>
  <c r="D174" i="5"/>
  <c r="F174" i="5" s="1"/>
  <c r="D296" i="5" s="1"/>
  <c r="D182" i="5"/>
  <c r="F182" i="5" s="1"/>
  <c r="D304" i="5" s="1"/>
  <c r="D190" i="5"/>
  <c r="F190" i="5" s="1"/>
  <c r="D312" i="5" s="1"/>
  <c r="D175" i="5"/>
  <c r="F175" i="5" s="1"/>
  <c r="D297" i="5" s="1"/>
  <c r="D183" i="5"/>
  <c r="F183" i="5" s="1"/>
  <c r="D305" i="5" s="1"/>
  <c r="D191" i="5"/>
  <c r="F191" i="5" s="1"/>
  <c r="D313" i="5" s="1"/>
  <c r="D154" i="5"/>
  <c r="H154" i="5" s="1"/>
  <c r="G43" i="6" s="1"/>
  <c r="D153" i="5"/>
  <c r="H153" i="5" s="1"/>
  <c r="G42" i="6" s="1"/>
  <c r="D152" i="5"/>
  <c r="D151" i="5"/>
  <c r="H151" i="5" s="1"/>
  <c r="G40" i="6" s="1"/>
  <c r="D150" i="5"/>
  <c r="H150" i="5" s="1"/>
  <c r="G39" i="6" s="1"/>
  <c r="D149" i="5"/>
  <c r="H149" i="5" s="1"/>
  <c r="G38" i="6" s="1"/>
  <c r="D148" i="5"/>
  <c r="H148" i="5" s="1"/>
  <c r="G37" i="6" s="1"/>
  <c r="D147" i="5"/>
  <c r="H147" i="5" s="1"/>
  <c r="G36" i="6" s="1"/>
  <c r="D146" i="5"/>
  <c r="H146" i="5" s="1"/>
  <c r="G35" i="6" s="1"/>
  <c r="D145" i="5"/>
  <c r="H145" i="5" s="1"/>
  <c r="G34" i="6" s="1"/>
  <c r="D144" i="5"/>
  <c r="H144" i="5" s="1"/>
  <c r="G33" i="6" s="1"/>
  <c r="D143" i="5"/>
  <c r="H143" i="5" s="1"/>
  <c r="G32" i="6" s="1"/>
  <c r="G126" i="5"/>
  <c r="D126" i="5"/>
  <c r="G360" i="5" l="1"/>
  <c r="K34" i="6" s="1"/>
  <c r="G367" i="5"/>
  <c r="K41" i="6" s="1"/>
  <c r="G358" i="5"/>
  <c r="K32" i="6" s="1"/>
  <c r="G365" i="5"/>
  <c r="K39" i="6" s="1"/>
  <c r="G361" i="5"/>
  <c r="K35" i="6" s="1"/>
  <c r="G368" i="5"/>
  <c r="K42" i="6" s="1"/>
  <c r="G362" i="5"/>
  <c r="K36" i="6" s="1"/>
  <c r="F192" i="5"/>
  <c r="D314" i="5" s="1"/>
  <c r="F195" i="5"/>
  <c r="D317" i="5" s="1"/>
  <c r="E318" i="5"/>
  <c r="F318" i="5"/>
  <c r="E369" i="5" s="1"/>
  <c r="F369" i="5" s="1"/>
  <c r="J43" i="6" s="1"/>
  <c r="F313" i="5"/>
  <c r="E364" i="5" s="1"/>
  <c r="F364" i="5" s="1"/>
  <c r="J38" i="6" s="1"/>
  <c r="E313" i="5"/>
  <c r="E312" i="5"/>
  <c r="F312" i="5"/>
  <c r="E363" i="5" s="1"/>
  <c r="F363" i="5" s="1"/>
  <c r="J37" i="6" s="1"/>
  <c r="E308" i="5"/>
  <c r="F308" i="5"/>
  <c r="E359" i="5" s="1"/>
  <c r="F359" i="5" s="1"/>
  <c r="J33" i="6" s="1"/>
  <c r="F315" i="5"/>
  <c r="E366" i="5" s="1"/>
  <c r="F366" i="5" s="1"/>
  <c r="J40" i="6" s="1"/>
  <c r="E315" i="5"/>
  <c r="E316" i="5"/>
  <c r="F173" i="5"/>
  <c r="D295" i="5" s="1"/>
  <c r="E295" i="5" s="1"/>
  <c r="E197" i="5"/>
  <c r="D197" i="5"/>
  <c r="D235" i="5"/>
  <c r="F41" i="6"/>
  <c r="H152" i="5"/>
  <c r="G41" i="6" s="1"/>
  <c r="E297" i="5"/>
  <c r="E299" i="5"/>
  <c r="E304" i="5"/>
  <c r="E302" i="5"/>
  <c r="E300" i="5"/>
  <c r="E298" i="5"/>
  <c r="E303" i="5"/>
  <c r="E305" i="5"/>
  <c r="E296" i="5"/>
  <c r="E301" i="5"/>
  <c r="E306" i="5"/>
  <c r="C113" i="5"/>
  <c r="C112" i="5"/>
  <c r="C111" i="5"/>
  <c r="C110" i="5"/>
  <c r="C109" i="5"/>
  <c r="C108" i="5"/>
  <c r="C107" i="5"/>
  <c r="C106" i="5"/>
  <c r="C105" i="5"/>
  <c r="C104" i="5"/>
  <c r="C103" i="5"/>
  <c r="C102" i="5"/>
  <c r="C67" i="5"/>
  <c r="F67" i="5" s="1"/>
  <c r="C66" i="5"/>
  <c r="F66" i="5" s="1"/>
  <c r="C65" i="5"/>
  <c r="F65" i="5" s="1"/>
  <c r="C64" i="5"/>
  <c r="F64" i="5" s="1"/>
  <c r="C63" i="5"/>
  <c r="F63" i="5" s="1"/>
  <c r="C62" i="5"/>
  <c r="F62" i="5" s="1"/>
  <c r="C61" i="5"/>
  <c r="F61" i="5" s="1"/>
  <c r="C60" i="5"/>
  <c r="F60" i="5" s="1"/>
  <c r="C59" i="5"/>
  <c r="F59" i="5" s="1"/>
  <c r="C58" i="5"/>
  <c r="F58" i="5" s="1"/>
  <c r="C57" i="5"/>
  <c r="F57" i="5" s="1"/>
  <c r="C56" i="5"/>
  <c r="F56" i="5" s="1"/>
  <c r="G359" i="5" l="1"/>
  <c r="K33" i="6" s="1"/>
  <c r="G363" i="5"/>
  <c r="K37" i="6" s="1"/>
  <c r="G364" i="5"/>
  <c r="K38" i="6" s="1"/>
  <c r="G369" i="5"/>
  <c r="K43" i="6" s="1"/>
  <c r="G366" i="5"/>
  <c r="K40" i="6" s="1"/>
  <c r="E104" i="5"/>
  <c r="G104" i="5"/>
  <c r="E105" i="5"/>
  <c r="G105" i="5"/>
  <c r="G113" i="5"/>
  <c r="E113" i="5"/>
  <c r="E106" i="5"/>
  <c r="G106" i="5"/>
  <c r="E107" i="5"/>
  <c r="G107" i="5"/>
  <c r="G108" i="5"/>
  <c r="E108" i="5"/>
  <c r="G109" i="5"/>
  <c r="E109" i="5"/>
  <c r="E112" i="5"/>
  <c r="G112" i="5"/>
  <c r="G110" i="5"/>
  <c r="E110" i="5"/>
  <c r="G102" i="5"/>
  <c r="E102" i="5"/>
  <c r="G103" i="5"/>
  <c r="E103" i="5"/>
  <c r="G111" i="5"/>
  <c r="E111" i="5"/>
  <c r="B34" i="6"/>
  <c r="E58" i="5"/>
  <c r="D34" i="6"/>
  <c r="B42" i="6"/>
  <c r="E66" i="5"/>
  <c r="D42" i="6"/>
  <c r="B36" i="6"/>
  <c r="D36" i="6"/>
  <c r="E60" i="5"/>
  <c r="B33" i="6"/>
  <c r="E57" i="5"/>
  <c r="D33" i="6"/>
  <c r="B43" i="6"/>
  <c r="E67" i="5"/>
  <c r="D43" i="6"/>
  <c r="B37" i="6"/>
  <c r="D37" i="6"/>
  <c r="E61" i="5"/>
  <c r="B38" i="6"/>
  <c r="E62" i="5"/>
  <c r="D38" i="6"/>
  <c r="B39" i="6"/>
  <c r="E63" i="5"/>
  <c r="D39" i="6"/>
  <c r="B41" i="6"/>
  <c r="E65" i="5"/>
  <c r="B35" i="6"/>
  <c r="D35" i="6"/>
  <c r="E59" i="5"/>
  <c r="B32" i="6"/>
  <c r="D32" i="6"/>
  <c r="E56" i="5"/>
  <c r="B40" i="6"/>
  <c r="D40" i="6"/>
  <c r="E64" i="5"/>
  <c r="F105" i="5"/>
  <c r="H105" i="5"/>
  <c r="D105" i="5"/>
  <c r="D104" i="5"/>
  <c r="H104" i="5"/>
  <c r="D113" i="5"/>
  <c r="H113" i="5"/>
  <c r="D107" i="5"/>
  <c r="H107" i="5"/>
  <c r="H108" i="5"/>
  <c r="D108" i="5"/>
  <c r="H109" i="5"/>
  <c r="D109" i="5"/>
  <c r="D106" i="5"/>
  <c r="H106" i="5"/>
  <c r="D102" i="5"/>
  <c r="H102" i="5"/>
  <c r="D110" i="5"/>
  <c r="H110" i="5"/>
  <c r="H103" i="5"/>
  <c r="D103" i="5"/>
  <c r="D111" i="5"/>
  <c r="D112" i="5"/>
  <c r="H112" i="5"/>
  <c r="F103" i="5"/>
  <c r="G56" i="5"/>
  <c r="E32" i="6" s="1"/>
  <c r="D56" i="5"/>
  <c r="C32" i="6" s="1"/>
  <c r="D61" i="5"/>
  <c r="C37" i="6" s="1"/>
  <c r="G61" i="5"/>
  <c r="E37" i="6" s="1"/>
  <c r="G62" i="5"/>
  <c r="E38" i="6" s="1"/>
  <c r="D62" i="5"/>
  <c r="C38" i="6" s="1"/>
  <c r="D63" i="5"/>
  <c r="C39" i="6" s="1"/>
  <c r="G63" i="5"/>
  <c r="E39" i="6" s="1"/>
  <c r="D57" i="5"/>
  <c r="C33" i="6" s="1"/>
  <c r="G57" i="5"/>
  <c r="E33" i="6" s="1"/>
  <c r="D65" i="5"/>
  <c r="C41" i="6" s="1"/>
  <c r="G58" i="5"/>
  <c r="E34" i="6" s="1"/>
  <c r="D58" i="5"/>
  <c r="C34" i="6" s="1"/>
  <c r="G64" i="5"/>
  <c r="E40" i="6" s="1"/>
  <c r="D64" i="5"/>
  <c r="C40" i="6" s="1"/>
  <c r="D66" i="5"/>
  <c r="C42" i="6" s="1"/>
  <c r="G66" i="5"/>
  <c r="E42" i="6" s="1"/>
  <c r="D59" i="5"/>
  <c r="C35" i="6" s="1"/>
  <c r="G59" i="5"/>
  <c r="E35" i="6" s="1"/>
  <c r="D67" i="5"/>
  <c r="C43" i="6" s="1"/>
  <c r="G67" i="5"/>
  <c r="E43" i="6" s="1"/>
  <c r="D60" i="5"/>
  <c r="C36" i="6" s="1"/>
  <c r="G60" i="5"/>
  <c r="E36" i="6" s="1"/>
  <c r="F104" i="5"/>
  <c r="F107" i="5"/>
  <c r="F110" i="5"/>
  <c r="F106" i="5"/>
  <c r="F112" i="5"/>
  <c r="F102" i="5"/>
  <c r="F108" i="5"/>
  <c r="F113" i="5"/>
  <c r="F109" i="5"/>
  <c r="F111" i="5"/>
  <c r="H111" i="5" s="1"/>
  <c r="C101" i="5"/>
  <c r="C100" i="5"/>
  <c r="C99" i="5"/>
  <c r="C98" i="5"/>
  <c r="C97" i="5"/>
  <c r="C96" i="5"/>
  <c r="C95" i="5"/>
  <c r="C94" i="5"/>
  <c r="C93" i="5"/>
  <c r="C92" i="5"/>
  <c r="C91" i="5"/>
  <c r="C90" i="5"/>
  <c r="F85" i="5"/>
  <c r="D85" i="5"/>
  <c r="D98" i="5" l="1"/>
  <c r="E98" i="5" s="1"/>
  <c r="D91" i="5"/>
  <c r="E91" i="5" s="1"/>
  <c r="D99" i="5"/>
  <c r="E99" i="5" s="1"/>
  <c r="D90" i="5"/>
  <c r="E90" i="5" s="1"/>
  <c r="D96" i="5"/>
  <c r="E96" i="5" s="1"/>
  <c r="D100" i="5"/>
  <c r="E100" i="5" s="1"/>
  <c r="D93" i="5"/>
  <c r="E93" i="5" s="1"/>
  <c r="D101" i="5"/>
  <c r="E101" i="5" s="1"/>
  <c r="D95" i="5"/>
  <c r="E95" i="5" s="1"/>
  <c r="D92" i="5"/>
  <c r="E92" i="5" s="1"/>
  <c r="D94" i="5"/>
  <c r="E94" i="5" s="1"/>
  <c r="D97" i="5"/>
  <c r="E97" i="5" s="1"/>
  <c r="F96" i="5"/>
  <c r="G96" i="5" s="1"/>
  <c r="F92" i="5"/>
  <c r="G92" i="5" s="1"/>
  <c r="F100" i="5"/>
  <c r="G100" i="5" s="1"/>
  <c r="F93" i="5"/>
  <c r="G93" i="5" s="1"/>
  <c r="F91" i="5"/>
  <c r="G91" i="5" s="1"/>
  <c r="F95" i="5"/>
  <c r="G95" i="5" s="1"/>
  <c r="F99" i="5"/>
  <c r="G99" i="5" s="1"/>
  <c r="F90" i="5"/>
  <c r="G90" i="5" s="1"/>
  <c r="F94" i="5"/>
  <c r="G94" i="5" s="1"/>
  <c r="F98" i="5"/>
  <c r="G98" i="5" s="1"/>
  <c r="F97" i="5"/>
  <c r="G97" i="5" s="1"/>
  <c r="F101" i="5"/>
  <c r="G101" i="5" s="1"/>
  <c r="K19" i="5"/>
  <c r="C4" i="1" s="1"/>
  <c r="K17" i="5"/>
  <c r="C55" i="5"/>
  <c r="C54" i="5"/>
  <c r="C53" i="5"/>
  <c r="C52" i="5"/>
  <c r="C51" i="5"/>
  <c r="C50" i="5"/>
  <c r="C49" i="5"/>
  <c r="C48" i="5"/>
  <c r="C47" i="5"/>
  <c r="C46" i="5"/>
  <c r="C45" i="5"/>
  <c r="C44" i="5"/>
  <c r="B19" i="6"/>
  <c r="G86" i="5"/>
  <c r="F86" i="5"/>
  <c r="E86" i="5"/>
  <c r="D86" i="5"/>
  <c r="F39" i="5"/>
  <c r="D39" i="5"/>
  <c r="D292" i="5" l="1"/>
  <c r="D240" i="5"/>
  <c r="D161" i="5"/>
  <c r="F292" i="5"/>
  <c r="C334" i="5"/>
  <c r="D373" i="5"/>
  <c r="C373" i="5"/>
  <c r="E292" i="5"/>
  <c r="D199" i="5"/>
  <c r="C199" i="5"/>
  <c r="L242" i="5"/>
  <c r="F249" i="5"/>
  <c r="C248" i="5"/>
  <c r="E264" i="5"/>
  <c r="C264" i="5"/>
  <c r="G264" i="5"/>
  <c r="C263" i="5"/>
  <c r="G263" i="5"/>
  <c r="D264" i="5"/>
  <c r="B71" i="5"/>
  <c r="J310" i="5"/>
  <c r="K310" i="5"/>
  <c r="C157" i="5"/>
  <c r="K199" i="5"/>
  <c r="C78" i="5"/>
  <c r="K11" i="5"/>
  <c r="C269" i="5"/>
  <c r="D283" i="5"/>
  <c r="C283" i="5"/>
  <c r="D255" i="5"/>
  <c r="C255" i="5"/>
  <c r="D269" i="5"/>
  <c r="J199" i="5"/>
  <c r="D120" i="5"/>
  <c r="C120" i="5"/>
  <c r="K20" i="5"/>
  <c r="C240" i="5" s="1"/>
  <c r="B14" i="6"/>
  <c r="J17" i="6"/>
  <c r="H17" i="6"/>
  <c r="F17" i="6"/>
  <c r="O278" i="5"/>
  <c r="N278" i="5"/>
  <c r="L278" i="5"/>
  <c r="M278" i="5"/>
  <c r="M277" i="5"/>
  <c r="G343" i="5"/>
  <c r="F341" i="5"/>
  <c r="F343" i="5"/>
  <c r="E343" i="5"/>
  <c r="G170" i="5"/>
  <c r="H208" i="5"/>
  <c r="F170" i="5"/>
  <c r="D169" i="5"/>
  <c r="E208" i="5"/>
  <c r="D170" i="5"/>
  <c r="F208" i="5"/>
  <c r="G208" i="5"/>
  <c r="G207" i="5"/>
  <c r="R208" i="5"/>
  <c r="O208" i="5"/>
  <c r="P208" i="5"/>
  <c r="Q207" i="5"/>
  <c r="Q208" i="5"/>
  <c r="N207" i="5"/>
  <c r="N208" i="5"/>
  <c r="K169" i="5"/>
  <c r="M169" i="5"/>
  <c r="O170" i="5"/>
  <c r="M170" i="5"/>
  <c r="K170" i="5"/>
  <c r="B20" i="6"/>
  <c r="B28" i="6"/>
  <c r="B29" i="6"/>
  <c r="B22" i="6"/>
  <c r="B30" i="6"/>
  <c r="B31" i="6"/>
  <c r="B25" i="6"/>
  <c r="B27" i="6"/>
  <c r="B21" i="6"/>
  <c r="B23" i="6"/>
  <c r="B24" i="6"/>
  <c r="B26" i="6"/>
  <c r="C4" i="6"/>
  <c r="C277" i="5"/>
  <c r="F4" i="6"/>
  <c r="B278" i="5"/>
  <c r="D278" i="5"/>
  <c r="G4" i="6"/>
  <c r="D4" i="6"/>
  <c r="C278" i="5"/>
  <c r="C16" i="6"/>
  <c r="D17" i="6"/>
  <c r="H128" i="5"/>
  <c r="D44" i="5"/>
  <c r="C20" i="6" s="1"/>
  <c r="D52" i="5"/>
  <c r="C28" i="6" s="1"/>
  <c r="D48" i="5"/>
  <c r="C24" i="6" s="1"/>
  <c r="D53" i="5"/>
  <c r="C29" i="6" s="1"/>
  <c r="D50" i="5"/>
  <c r="C26" i="6" s="1"/>
  <c r="D45" i="5"/>
  <c r="C21" i="6" s="1"/>
  <c r="D46" i="5"/>
  <c r="E46" i="5" s="1"/>
  <c r="F46" i="5" s="1"/>
  <c r="D54" i="5"/>
  <c r="C30" i="6" s="1"/>
  <c r="D47" i="5"/>
  <c r="E47" i="5" s="1"/>
  <c r="F47" i="5" s="1"/>
  <c r="D55" i="5"/>
  <c r="C31" i="6" s="1"/>
  <c r="D41" i="6"/>
  <c r="E87" i="5"/>
  <c r="D87" i="5"/>
  <c r="G41" i="5"/>
  <c r="G87" i="5"/>
  <c r="F87" i="5"/>
  <c r="F128" i="5"/>
  <c r="E128" i="5"/>
  <c r="D128" i="5"/>
  <c r="E41" i="5"/>
  <c r="D41" i="5"/>
  <c r="H87" i="5"/>
  <c r="G128" i="5"/>
  <c r="F41" i="5"/>
  <c r="G127" i="5"/>
  <c r="H91" i="5"/>
  <c r="E127" i="5"/>
  <c r="D127" i="5"/>
  <c r="H96" i="5"/>
  <c r="F137" i="5" s="1"/>
  <c r="H92" i="5"/>
  <c r="H99" i="5"/>
  <c r="H97" i="5"/>
  <c r="H93" i="5"/>
  <c r="H90" i="5"/>
  <c r="H94" i="5"/>
  <c r="H95" i="5"/>
  <c r="F136" i="5" s="1"/>
  <c r="H98" i="5"/>
  <c r="F139" i="5" s="1"/>
  <c r="H100" i="5"/>
  <c r="H101" i="5"/>
  <c r="D133" i="5"/>
  <c r="E133" i="5" s="1"/>
  <c r="D137" i="5"/>
  <c r="E137" i="5" s="1"/>
  <c r="E134" i="5"/>
  <c r="E136" i="5"/>
  <c r="D138" i="5"/>
  <c r="E138" i="5" s="1"/>
  <c r="D139" i="5"/>
  <c r="E139" i="5" s="1"/>
  <c r="D131" i="5"/>
  <c r="E131" i="5" s="1"/>
  <c r="D140" i="5"/>
  <c r="E140" i="5" s="1"/>
  <c r="D132" i="5"/>
  <c r="E132" i="5" s="1"/>
  <c r="D141" i="5"/>
  <c r="E141" i="5" s="1"/>
  <c r="D142" i="5"/>
  <c r="E142" i="5" s="1"/>
  <c r="E135" i="5"/>
  <c r="D51" i="5"/>
  <c r="C27" i="6" s="1"/>
  <c r="C19" i="6"/>
  <c r="D49" i="5"/>
  <c r="C25" i="6" s="1"/>
  <c r="E40" i="5"/>
  <c r="F40" i="5"/>
  <c r="D40" i="5"/>
  <c r="K242" i="5" l="1"/>
  <c r="G139" i="5"/>
  <c r="F28" i="6" s="1"/>
  <c r="G136" i="5"/>
  <c r="F25" i="6" s="1"/>
  <c r="G137" i="5"/>
  <c r="F26" i="6" s="1"/>
  <c r="B1" i="6"/>
  <c r="E55" i="5"/>
  <c r="F55" i="5" s="1"/>
  <c r="E48" i="5"/>
  <c r="F48" i="5" s="1"/>
  <c r="E45" i="5"/>
  <c r="F45" i="5" s="1"/>
  <c r="E53" i="5"/>
  <c r="F53" i="5" s="1"/>
  <c r="E51" i="5"/>
  <c r="F51" i="5" s="1"/>
  <c r="E54" i="5"/>
  <c r="F54" i="5" s="1"/>
  <c r="E52" i="5"/>
  <c r="F52" i="5" s="1"/>
  <c r="E49" i="5"/>
  <c r="F49" i="5" s="1"/>
  <c r="E44" i="5"/>
  <c r="F44" i="5" s="1"/>
  <c r="E50" i="5"/>
  <c r="F50" i="5" s="1"/>
  <c r="C23" i="6"/>
  <c r="C22" i="6"/>
  <c r="G65" i="5"/>
  <c r="E41" i="6" s="1"/>
  <c r="B78" i="5"/>
  <c r="C161" i="5"/>
  <c r="F138" i="5"/>
  <c r="G138" i="5" s="1"/>
  <c r="F132" i="5"/>
  <c r="G132" i="5" s="1"/>
  <c r="F133" i="5"/>
  <c r="G133" i="5" s="1"/>
  <c r="F141" i="5"/>
  <c r="G141" i="5" s="1"/>
  <c r="F142" i="5"/>
  <c r="G142" i="5" s="1"/>
  <c r="F135" i="5"/>
  <c r="G135" i="5" s="1"/>
  <c r="F131" i="5"/>
  <c r="G131" i="5" s="1"/>
  <c r="F140" i="5"/>
  <c r="G140" i="5" s="1"/>
  <c r="F134" i="5"/>
  <c r="G134" i="5" s="1"/>
  <c r="D68" i="5"/>
  <c r="C44" i="6" s="1"/>
  <c r="H137" i="5" l="1"/>
  <c r="G26" i="6" s="1"/>
  <c r="H139" i="5"/>
  <c r="G28" i="6" s="1"/>
  <c r="H136" i="5"/>
  <c r="G25" i="6" s="1"/>
  <c r="F30" i="6"/>
  <c r="F21" i="6"/>
  <c r="F27" i="6"/>
  <c r="D28" i="6"/>
  <c r="D23" i="6"/>
  <c r="F22" i="6"/>
  <c r="F23" i="6"/>
  <c r="D20" i="6"/>
  <c r="D21" i="6"/>
  <c r="D27" i="6"/>
  <c r="F29" i="6"/>
  <c r="F20" i="6"/>
  <c r="D30" i="6"/>
  <c r="F24" i="6"/>
  <c r="D29" i="6"/>
  <c r="D24" i="6"/>
  <c r="F31" i="6"/>
  <c r="D22" i="6"/>
  <c r="D31" i="6"/>
  <c r="D26" i="6"/>
  <c r="D25" i="6"/>
  <c r="D19" i="6" l="1"/>
  <c r="G6" i="6"/>
  <c r="H138" i="5"/>
  <c r="G27" i="6" s="1"/>
  <c r="H142" i="5"/>
  <c r="G31" i="6" s="1"/>
  <c r="H141" i="5"/>
  <c r="G30" i="6" s="1"/>
  <c r="H140" i="5"/>
  <c r="G29" i="6" s="1"/>
  <c r="H132" i="5"/>
  <c r="G21" i="6" s="1"/>
  <c r="H133" i="5"/>
  <c r="G22" i="6" s="1"/>
  <c r="H135" i="5"/>
  <c r="G24" i="6" s="1"/>
  <c r="H134" i="5"/>
  <c r="G23" i="6" s="1"/>
  <c r="H131" i="5"/>
  <c r="G20" i="6" s="1"/>
  <c r="F68" i="5"/>
  <c r="D44" i="6" s="1"/>
  <c r="G52" i="5"/>
  <c r="E28" i="6" s="1"/>
  <c r="G46" i="5"/>
  <c r="E22" i="6" s="1"/>
  <c r="G55" i="5"/>
  <c r="E31" i="6" s="1"/>
  <c r="G43" i="5"/>
  <c r="E19" i="6" s="1"/>
  <c r="G51" i="5"/>
  <c r="E27" i="6" s="1"/>
  <c r="G50" i="5"/>
  <c r="E26" i="6" s="1"/>
  <c r="G48" i="5"/>
  <c r="E24" i="6" s="1"/>
  <c r="G54" i="5"/>
  <c r="E30" i="6" s="1"/>
  <c r="G45" i="5"/>
  <c r="E21" i="6" s="1"/>
  <c r="G47" i="5"/>
  <c r="E23" i="6" s="1"/>
  <c r="G53" i="5"/>
  <c r="E29" i="6" s="1"/>
  <c r="G44" i="5"/>
  <c r="E20" i="6" s="1"/>
  <c r="G49" i="5"/>
  <c r="E25" i="6" s="1"/>
  <c r="D114" i="5"/>
  <c r="D155" i="5"/>
  <c r="H6" i="6" l="1"/>
  <c r="G68" i="5"/>
  <c r="E44" i="6" s="1"/>
  <c r="F114" i="5"/>
  <c r="H89" i="5" l="1"/>
  <c r="F130" i="5" s="1"/>
  <c r="D162" i="5" s="1"/>
  <c r="F172" i="5"/>
  <c r="D294" i="5" s="1"/>
  <c r="D330" i="5" l="1"/>
  <c r="D334" i="5"/>
  <c r="D163" i="5"/>
  <c r="G130" i="5"/>
  <c r="H130" i="5" s="1"/>
  <c r="F197" i="5"/>
  <c r="D201" i="5" s="1"/>
  <c r="D319" i="5" l="1"/>
  <c r="D324" i="5" s="1"/>
  <c r="D200" i="5"/>
  <c r="E294" i="5"/>
  <c r="G186" i="5"/>
  <c r="G187" i="5"/>
  <c r="G193" i="5"/>
  <c r="G188" i="5"/>
  <c r="G189" i="5"/>
  <c r="G192" i="5"/>
  <c r="G185" i="5"/>
  <c r="G190" i="5"/>
  <c r="G196" i="5"/>
  <c r="G191" i="5"/>
  <c r="G195" i="5"/>
  <c r="G172" i="5"/>
  <c r="F19" i="6"/>
  <c r="G7" i="6"/>
  <c r="G19" i="6"/>
  <c r="G155" i="5"/>
  <c r="F44" i="6" s="1"/>
  <c r="G194" i="5"/>
  <c r="G180" i="5"/>
  <c r="E218" i="5" s="1"/>
  <c r="G177" i="5"/>
  <c r="E215" i="5" s="1"/>
  <c r="G179" i="5"/>
  <c r="E217" i="5" s="1"/>
  <c r="G182" i="5"/>
  <c r="E220" i="5" s="1"/>
  <c r="G178" i="5"/>
  <c r="E216" i="5" s="1"/>
  <c r="G174" i="5"/>
  <c r="E212" i="5" s="1"/>
  <c r="G173" i="5"/>
  <c r="E211" i="5" s="1"/>
  <c r="G184" i="5"/>
  <c r="E222" i="5" s="1"/>
  <c r="G175" i="5"/>
  <c r="E213" i="5" s="1"/>
  <c r="G181" i="5"/>
  <c r="E219" i="5" s="1"/>
  <c r="G183" i="5"/>
  <c r="E221" i="5" s="1"/>
  <c r="G176" i="5"/>
  <c r="E214" i="5" s="1"/>
  <c r="E319" i="5" l="1"/>
  <c r="D322" i="5" s="1"/>
  <c r="E210" i="5"/>
  <c r="G197" i="5"/>
  <c r="H7" i="6"/>
  <c r="H10" i="6" s="1"/>
  <c r="G10" i="6"/>
  <c r="H155" i="5"/>
  <c r="G44" i="6" s="1"/>
  <c r="F211" i="5"/>
  <c r="F221" i="5"/>
  <c r="G221" i="5" s="1"/>
  <c r="H30" i="6" s="1"/>
  <c r="F212" i="5"/>
  <c r="G212" i="5" s="1"/>
  <c r="H21" i="6" s="1"/>
  <c r="F232" i="5"/>
  <c r="G232" i="5" s="1"/>
  <c r="H41" i="6" s="1"/>
  <c r="F216" i="5"/>
  <c r="G216" i="5" s="1"/>
  <c r="H25" i="6" s="1"/>
  <c r="F214" i="5"/>
  <c r="G214" i="5" s="1"/>
  <c r="H23" i="6" s="1"/>
  <c r="F220" i="5"/>
  <c r="G220" i="5" s="1"/>
  <c r="H29" i="6" s="1"/>
  <c r="F217" i="5"/>
  <c r="G217" i="5" s="1"/>
  <c r="H26" i="6" s="1"/>
  <c r="F219" i="5"/>
  <c r="G219" i="5" s="1"/>
  <c r="H28" i="6" s="1"/>
  <c r="F215" i="5"/>
  <c r="G215" i="5" s="1"/>
  <c r="H24" i="6" s="1"/>
  <c r="F213" i="5"/>
  <c r="G213" i="5" s="1"/>
  <c r="H22" i="6" s="1"/>
  <c r="F218" i="5"/>
  <c r="G218" i="5" s="1"/>
  <c r="H27" i="6" s="1"/>
  <c r="F222" i="5"/>
  <c r="G222" i="5" s="1"/>
  <c r="H31" i="6" s="1"/>
  <c r="D331" i="5" l="1"/>
  <c r="D327" i="5"/>
  <c r="D332" i="5"/>
  <c r="F305" i="5" s="1"/>
  <c r="E356" i="5" s="1"/>
  <c r="F356" i="5" s="1"/>
  <c r="J30" i="6" s="1"/>
  <c r="D328" i="5"/>
  <c r="F303" i="5" s="1"/>
  <c r="E354" i="5" s="1"/>
  <c r="F354" i="5" s="1"/>
  <c r="J28" i="6" s="1"/>
  <c r="F210" i="5"/>
  <c r="G210" i="5" s="1"/>
  <c r="H210" i="5" s="1"/>
  <c r="I19" i="6" s="1"/>
  <c r="H212" i="5"/>
  <c r="I21" i="6" s="1"/>
  <c r="H221" i="5"/>
  <c r="I30" i="6" s="1"/>
  <c r="H215" i="5"/>
  <c r="I24" i="6" s="1"/>
  <c r="H219" i="5"/>
  <c r="I28" i="6" s="1"/>
  <c r="H217" i="5"/>
  <c r="I26" i="6" s="1"/>
  <c r="H218" i="5"/>
  <c r="I27" i="6" s="1"/>
  <c r="H214" i="5"/>
  <c r="I23" i="6" s="1"/>
  <c r="H213" i="5"/>
  <c r="I22" i="6" s="1"/>
  <c r="H220" i="5"/>
  <c r="I29" i="6" s="1"/>
  <c r="H222" i="5"/>
  <c r="I31" i="6" s="1"/>
  <c r="H216" i="5"/>
  <c r="I25" i="6" s="1"/>
  <c r="F306" i="5"/>
  <c r="E357" i="5" s="1"/>
  <c r="F357" i="5" s="1"/>
  <c r="J31" i="6" s="1"/>
  <c r="F299" i="5"/>
  <c r="E350" i="5" s="1"/>
  <c r="F350" i="5" s="1"/>
  <c r="J24" i="6" s="1"/>
  <c r="F301" i="5"/>
  <c r="E352" i="5" s="1"/>
  <c r="F352" i="5" s="1"/>
  <c r="J26" i="6" s="1"/>
  <c r="F298" i="5"/>
  <c r="E349" i="5" s="1"/>
  <c r="F349" i="5" s="1"/>
  <c r="J23" i="6" s="1"/>
  <c r="G211" i="5"/>
  <c r="H20" i="6" s="1"/>
  <c r="F300" i="5" l="1"/>
  <c r="E351" i="5" s="1"/>
  <c r="F351" i="5" s="1"/>
  <c r="J25" i="6" s="1"/>
  <c r="D335" i="5"/>
  <c r="F296" i="5"/>
  <c r="E347" i="5" s="1"/>
  <c r="F347" i="5" s="1"/>
  <c r="J21" i="6" s="1"/>
  <c r="F297" i="5"/>
  <c r="E348" i="5" s="1"/>
  <c r="F348" i="5" s="1"/>
  <c r="J22" i="6" s="1"/>
  <c r="F294" i="5"/>
  <c r="E345" i="5" s="1"/>
  <c r="D336" i="5"/>
  <c r="F302" i="5"/>
  <c r="E353" i="5" s="1"/>
  <c r="F353" i="5" s="1"/>
  <c r="J27" i="6" s="1"/>
  <c r="F304" i="5"/>
  <c r="E355" i="5" s="1"/>
  <c r="F355" i="5" s="1"/>
  <c r="J29" i="6" s="1"/>
  <c r="F295" i="5"/>
  <c r="E346" i="5" s="1"/>
  <c r="F346" i="5" s="1"/>
  <c r="J20" i="6" s="1"/>
  <c r="F235" i="5"/>
  <c r="G235" i="5"/>
  <c r="H19" i="6"/>
  <c r="G357" i="5"/>
  <c r="K31" i="6" s="1"/>
  <c r="G354" i="5"/>
  <c r="K28" i="6" s="1"/>
  <c r="G349" i="5"/>
  <c r="K23" i="6" s="1"/>
  <c r="H211" i="5"/>
  <c r="I20" i="6" s="1"/>
  <c r="G352" i="5"/>
  <c r="K26" i="6" s="1"/>
  <c r="G347" i="5"/>
  <c r="K21" i="6" s="1"/>
  <c r="G351" i="5"/>
  <c r="K25" i="6" s="1"/>
  <c r="G356" i="5"/>
  <c r="K30" i="6" s="1"/>
  <c r="G350" i="5"/>
  <c r="K24" i="6" s="1"/>
  <c r="G348" i="5" l="1"/>
  <c r="K22" i="6" s="1"/>
  <c r="G353" i="5"/>
  <c r="K27" i="6" s="1"/>
  <c r="F319" i="5"/>
  <c r="G355" i="5"/>
  <c r="K29" i="6" s="1"/>
  <c r="G346" i="5"/>
  <c r="K20" i="6" s="1"/>
  <c r="E370" i="5"/>
  <c r="D374" i="5"/>
  <c r="D375" i="5"/>
  <c r="D241" i="5"/>
  <c r="D242" i="5"/>
  <c r="F345" i="5"/>
  <c r="F370" i="5" s="1"/>
  <c r="H235" i="5"/>
  <c r="I44" i="6" s="1"/>
  <c r="H44" i="6"/>
  <c r="J19" i="6" l="1"/>
  <c r="G345" i="5"/>
  <c r="K19" i="6" s="1"/>
  <c r="J44" i="6"/>
  <c r="G370" i="5" l="1"/>
  <c r="K44" i="6" s="1"/>
</calcChain>
</file>

<file path=xl/sharedStrings.xml><?xml version="1.0" encoding="utf-8"?>
<sst xmlns="http://schemas.openxmlformats.org/spreadsheetml/2006/main" count="471" uniqueCount="140">
  <si>
    <t>(1)</t>
  </si>
  <si>
    <t>(2)</t>
  </si>
  <si>
    <t>(3)</t>
  </si>
  <si>
    <t>(4)</t>
  </si>
  <si>
    <t>(5)</t>
  </si>
  <si>
    <t>(6)</t>
  </si>
  <si>
    <t>(7)</t>
  </si>
  <si>
    <t>Variable =</t>
  </si>
  <si>
    <t>Base Year =</t>
  </si>
  <si>
    <t>Launch Year =</t>
  </si>
  <si>
    <t>Target Year =</t>
  </si>
  <si>
    <t>Label =</t>
  </si>
  <si>
    <t>DeKalb County</t>
  </si>
  <si>
    <t>Population</t>
  </si>
  <si>
    <t>Contents</t>
  </si>
  <si>
    <t>Inputs and Procedures</t>
  </si>
  <si>
    <t>Outputs</t>
  </si>
  <si>
    <t>https://planningsupport.org/</t>
  </si>
  <si>
    <t>mailto:dick.klosterman@gmail.com</t>
  </si>
  <si>
    <t xml:space="preserve">Further information on the book is available at: </t>
  </si>
  <si>
    <t>Decatur</t>
  </si>
  <si>
    <t>Share</t>
  </si>
  <si>
    <t>Growth Rate</t>
  </si>
  <si>
    <t>Total</t>
  </si>
  <si>
    <t>---</t>
  </si>
  <si>
    <t>Constant Share Projections</t>
  </si>
  <si>
    <t>Block Group</t>
  </si>
  <si>
    <t>225.1</t>
  </si>
  <si>
    <t>225.2</t>
  </si>
  <si>
    <t>224.5</t>
  </si>
  <si>
    <t>225.4</t>
  </si>
  <si>
    <t>226.1</t>
  </si>
  <si>
    <t>226.2</t>
  </si>
  <si>
    <t>226.3</t>
  </si>
  <si>
    <t>227.1</t>
  </si>
  <si>
    <t>227.3</t>
  </si>
  <si>
    <t>227.2</t>
  </si>
  <si>
    <t>228.1</t>
  </si>
  <si>
    <t>228.2</t>
  </si>
  <si>
    <t>228.3</t>
  </si>
  <si>
    <t xml:space="preserve">Projected </t>
  </si>
  <si>
    <t>Shift</t>
  </si>
  <si>
    <t>Projected</t>
  </si>
  <si>
    <t>Projected Shift</t>
  </si>
  <si>
    <t>Shift-Share Projections</t>
  </si>
  <si>
    <t>Component</t>
  </si>
  <si>
    <t>=</t>
  </si>
  <si>
    <t>Δ</t>
  </si>
  <si>
    <t>delta =</t>
  </si>
  <si>
    <t>base =</t>
  </si>
  <si>
    <t>launch =</t>
  </si>
  <si>
    <t>target =</t>
  </si>
  <si>
    <t>x1.target =</t>
  </si>
  <si>
    <t>Share Trend</t>
  </si>
  <si>
    <t>City</t>
  </si>
  <si>
    <t>i</t>
  </si>
  <si>
    <t>sum =</t>
  </si>
  <si>
    <t>Σ</t>
  </si>
  <si>
    <t>Shift-Share</t>
  </si>
  <si>
    <t>Share-of-Change</t>
  </si>
  <si>
    <t>(8)</t>
  </si>
  <si>
    <t>(9)</t>
  </si>
  <si>
    <t>(10)</t>
  </si>
  <si>
    <t xml:space="preserve">Decatur </t>
  </si>
  <si>
    <t>Reference Area =</t>
  </si>
  <si>
    <t>Study Area(s) =</t>
  </si>
  <si>
    <t>one.analysis =</t>
  </si>
  <si>
    <t>County</t>
  </si>
  <si>
    <t>one.refer =</t>
  </si>
  <si>
    <t>Share-of-Change Projection for One Study Area Component</t>
  </si>
  <si>
    <t>NAICS Code</t>
  </si>
  <si>
    <t>Employment</t>
  </si>
  <si>
    <t>Other</t>
  </si>
  <si>
    <t>54</t>
  </si>
  <si>
    <t>61</t>
  </si>
  <si>
    <t>62</t>
  </si>
  <si>
    <t>72</t>
  </si>
  <si>
    <t>Observed Share of Change for Many Reference Area Components and Many Study Area Components</t>
  </si>
  <si>
    <t>Share-of-Change Projections for Many Reference Area Components and Many Study Area Components</t>
  </si>
  <si>
    <t>Adjustment Factor =</t>
  </si>
  <si>
    <t>Per Capita Income</t>
  </si>
  <si>
    <t>Area</t>
  </si>
  <si>
    <t>Reference Area</t>
  </si>
  <si>
    <t>Employment Adjustment</t>
  </si>
  <si>
    <t>Share  Projections: Decatur  Population, 2040</t>
  </si>
  <si>
    <t>2010-2040</t>
  </si>
  <si>
    <t>Study Area(s)</t>
  </si>
  <si>
    <t>Share  Projections: Decatur  Block Group Population, 2040</t>
  </si>
  <si>
    <t>Share  Projections: Decatur Employment, 2022</t>
  </si>
  <si>
    <t>Decatur Employment</t>
  </si>
  <si>
    <t>2013-2022</t>
  </si>
  <si>
    <t>Adjusted Share  Projections: Decatur Employment, 2022</t>
  </si>
  <si>
    <r>
      <t xml:space="preserve">(4) </t>
    </r>
    <r>
      <rPr>
        <b/>
        <sz val="12"/>
        <color theme="1"/>
        <rFont val="Calibri"/>
        <family val="2"/>
        <scheme val="minor"/>
      </rPr>
      <t>Calculation</t>
    </r>
    <r>
      <rPr>
        <sz val="12"/>
        <color theme="1"/>
        <rFont val="Calibri"/>
        <family val="2"/>
        <scheme val="minor"/>
      </rPr>
      <t xml:space="preserve"> computes the share projections. The worksheet is protected and cannot be modified by users. </t>
    </r>
  </si>
  <si>
    <r>
      <t xml:space="preserve">(2) </t>
    </r>
    <r>
      <rPr>
        <b/>
        <sz val="12"/>
        <color theme="1"/>
        <rFont val="Calibri"/>
        <family val="2"/>
        <scheme val="minor"/>
      </rPr>
      <t>Input</t>
    </r>
    <r>
      <rPr>
        <sz val="12"/>
        <color theme="1"/>
        <rFont val="Calibri"/>
        <family val="2"/>
        <scheme val="minor"/>
      </rPr>
      <t xml:space="preserve"> is used to enter the share projection parameters and observed data. Portions of the worksheet are projected and cannot be modified by users.</t>
    </r>
  </si>
  <si>
    <t>Study Area Heading =</t>
  </si>
  <si>
    <t>Reference Area Heading =</t>
  </si>
  <si>
    <t>Study Area Component(s)</t>
  </si>
  <si>
    <t>Reference Area Component(s)</t>
  </si>
  <si>
    <t>DeKalb County Employment</t>
  </si>
  <si>
    <t>The following values are entered on the Input worksheet.</t>
  </si>
  <si>
    <r>
      <t xml:space="preserve">(5) </t>
    </r>
    <r>
      <rPr>
        <b/>
        <sz val="12"/>
        <color theme="1"/>
        <rFont val="Calibri"/>
        <family val="2"/>
        <scheme val="minor"/>
      </rPr>
      <t>Variable</t>
    </r>
    <r>
      <rPr>
        <sz val="12"/>
        <color theme="1"/>
        <rFont val="Calibri"/>
        <family val="2"/>
        <scheme val="minor"/>
      </rPr>
      <t>, the variable to be projected.</t>
    </r>
  </si>
  <si>
    <t xml:space="preserve">Share Projections for One Area </t>
  </si>
  <si>
    <t>Share Projections for Multiple Areas</t>
  </si>
  <si>
    <t>Adjusted Employment Share Projections</t>
  </si>
  <si>
    <t xml:space="preserve"> Unadjusted Employment Share Projections</t>
  </si>
  <si>
    <r>
      <t xml:space="preserve">(5) </t>
    </r>
    <r>
      <rPr>
        <b/>
        <sz val="12"/>
        <color theme="1"/>
        <rFont val="Calibri"/>
        <family val="2"/>
        <scheme val="minor"/>
      </rPr>
      <t>Output</t>
    </r>
    <r>
      <rPr>
        <sz val="12"/>
        <color theme="1"/>
        <rFont val="Calibri"/>
        <family val="2"/>
        <scheme val="minor"/>
      </rPr>
      <t xml:space="preserve"> reports the observed data and the share projections. The worksheet is protected and cannot be modified by users.</t>
    </r>
  </si>
  <si>
    <t xml:space="preserve">The Output worksheet contains two tables. The cells in the tables are locked and cannot be changed; the rest of the worksheet is not protected. </t>
  </si>
  <si>
    <t>Constant-Share</t>
  </si>
  <si>
    <t>The upper table reports the following target year projections and projected growth rates for one study area: constant-share, shift-share, share-of-change, and share-trend.</t>
  </si>
  <si>
    <t>The workbook was developed by Richard Klosterman. Questions and comments can be sent to:</t>
  </si>
  <si>
    <r>
      <t xml:space="preserve">(1) </t>
    </r>
    <r>
      <rPr>
        <b/>
        <sz val="12"/>
        <color theme="1"/>
        <rFont val="Calibri"/>
        <family val="2"/>
        <scheme val="minor"/>
      </rPr>
      <t>Documentation</t>
    </r>
    <r>
      <rPr>
        <sz val="12"/>
        <color theme="1"/>
        <rFont val="Calibri"/>
        <family val="2"/>
        <scheme val="minor"/>
      </rPr>
      <t xml:space="preserve"> describes the Share workbook, procedures for using it, the required inputs, and the outputs. </t>
    </r>
  </si>
  <si>
    <t>The data in the 'Share Projections for One Area' section were used on pages 61 to 66 of the text.</t>
  </si>
  <si>
    <t>The data in the 'Share Projections for Multiple Areas' section were used on pages 66 to 75 of the text.</t>
  </si>
  <si>
    <r>
      <t xml:space="preserve">(3) </t>
    </r>
    <r>
      <rPr>
        <b/>
        <sz val="12"/>
        <color theme="1"/>
        <rFont val="Calibri"/>
        <family val="2"/>
        <scheme val="minor"/>
      </rPr>
      <t xml:space="preserve">Sample Data </t>
    </r>
    <r>
      <rPr>
        <sz val="12"/>
        <color theme="1"/>
        <rFont val="Calibri"/>
        <family val="2"/>
        <scheme val="minor"/>
      </rPr>
      <t xml:space="preserve">contains the  data for the City of Decatur and DeKalb County that were used in the </t>
    </r>
    <r>
      <rPr>
        <i/>
        <sz val="12"/>
        <color theme="1"/>
        <rFont val="Calibri"/>
        <family val="2"/>
        <scheme val="minor"/>
      </rPr>
      <t xml:space="preserve">Planning Support Methods </t>
    </r>
    <r>
      <rPr>
        <sz val="12"/>
        <color theme="1"/>
        <rFont val="Calibri"/>
        <family val="2"/>
        <scheme val="minor"/>
      </rPr>
      <t>text. The information in the blue shaded cells can be copied to the Input worksheet to duplicate the analyses in the text. The worksheet is protected and cannot be modified by users.</t>
    </r>
  </si>
  <si>
    <t>The data in the 'Unadjusted Employment Share Projections' section were used on pages 152 to 158 of the text.</t>
  </si>
  <si>
    <t>The data in the 'Adjusted Employment Share Projections' section were used on pages 158 to 159 of the text.</t>
  </si>
  <si>
    <t xml:space="preserve">The Input worksheet is used to enter nine parameters and the required study area and reference area data. The data are entered in the cells highlighted in blue. The other cells are locked and cannot be modified by the user. </t>
  </si>
  <si>
    <r>
      <t xml:space="preserve">(2) </t>
    </r>
    <r>
      <rPr>
        <b/>
        <sz val="12"/>
        <color theme="1"/>
        <rFont val="Calibri"/>
        <family val="2"/>
        <scheme val="minor"/>
      </rPr>
      <t>Reference Area</t>
    </r>
    <r>
      <rPr>
        <sz val="12"/>
        <color theme="1"/>
        <rFont val="Calibri"/>
        <family val="2"/>
        <scheme val="minor"/>
      </rPr>
      <t>, the reference area name.</t>
    </r>
  </si>
  <si>
    <r>
      <t xml:space="preserve">(4) </t>
    </r>
    <r>
      <rPr>
        <b/>
        <sz val="12"/>
        <color theme="1"/>
        <rFont val="Calibri"/>
        <family val="2"/>
        <scheme val="minor"/>
      </rPr>
      <t>Reference Area Heading</t>
    </r>
    <r>
      <rPr>
        <sz val="12"/>
        <color theme="1"/>
        <rFont val="Calibri"/>
        <family val="2"/>
        <scheme val="minor"/>
      </rPr>
      <t>,  the label for the first column of the Reference Area Component(s) table.</t>
    </r>
  </si>
  <si>
    <r>
      <t xml:space="preserve">(3) </t>
    </r>
    <r>
      <rPr>
        <b/>
        <sz val="12"/>
        <color theme="1"/>
        <rFont val="Calibri"/>
        <family val="2"/>
        <scheme val="minor"/>
      </rPr>
      <t>Study Area Heading</t>
    </r>
    <r>
      <rPr>
        <sz val="12"/>
        <color theme="1"/>
        <rFont val="Calibri"/>
        <family val="2"/>
        <scheme val="minor"/>
      </rPr>
      <t>, the label for the first column of the Study Area Component(s) table.</t>
    </r>
  </si>
  <si>
    <r>
      <t>(7</t>
    </r>
    <r>
      <rPr>
        <b/>
        <sz val="12"/>
        <color theme="1"/>
        <rFont val="Calibri"/>
        <family val="2"/>
        <scheme val="minor"/>
      </rPr>
      <t>) Launch Year</t>
    </r>
    <r>
      <rPr>
        <sz val="12"/>
        <color theme="1"/>
        <rFont val="Calibri"/>
        <family val="2"/>
        <scheme val="minor"/>
      </rPr>
      <t xml:space="preserve">, the last year for computing the share projections. </t>
    </r>
  </si>
  <si>
    <r>
      <t xml:space="preserve">(8) </t>
    </r>
    <r>
      <rPr>
        <b/>
        <sz val="12"/>
        <color theme="1"/>
        <rFont val="Calibri"/>
        <family val="2"/>
        <scheme val="minor"/>
      </rPr>
      <t>Target Year</t>
    </r>
    <r>
      <rPr>
        <sz val="12"/>
        <color theme="1"/>
        <rFont val="Calibri"/>
        <family val="2"/>
        <scheme val="minor"/>
      </rPr>
      <t>, the share projection year.</t>
    </r>
  </si>
  <si>
    <r>
      <t xml:space="preserve">(9) </t>
    </r>
    <r>
      <rPr>
        <b/>
        <sz val="12"/>
        <color theme="1"/>
        <rFont val="Calibri"/>
        <family val="2"/>
        <scheme val="minor"/>
      </rPr>
      <t>Adjustment Factor</t>
    </r>
    <r>
      <rPr>
        <sz val="12"/>
        <color theme="1"/>
        <rFont val="Calibri"/>
        <family val="2"/>
        <scheme val="minor"/>
      </rPr>
      <t>, the adjusted employment share projection adjustment factor. This parameter should only be specified for computing the adjusted employment projections.</t>
    </r>
  </si>
  <si>
    <t>After entering the parameter values, users should clear the other blue cells and enter the required data in the Study Area Component(s). Reference Area Component(s), and Employment Adjustment tables.</t>
  </si>
  <si>
    <t>The lower table reports the following target year projections and projected growth rates for multiple study areas and the adjusted and unadjusted study area employment : constant-share, shift-share, share-of-change, and adjusted-share-of-change.</t>
  </si>
  <si>
    <r>
      <t xml:space="preserve">(1) </t>
    </r>
    <r>
      <rPr>
        <b/>
        <sz val="12"/>
        <color theme="1"/>
        <rFont val="Calibri"/>
        <family val="2"/>
        <scheme val="minor"/>
      </rPr>
      <t>Study Areas(s)</t>
    </r>
    <r>
      <rPr>
        <sz val="12"/>
        <color theme="1"/>
        <rFont val="Calibri"/>
        <family val="2"/>
        <scheme val="minor"/>
      </rPr>
      <t>, the study area(s) name.</t>
    </r>
  </si>
  <si>
    <t>The parameter values define the Label displayed at the top of the Input and Output worksheets and the column headings for the Input, Computation, and Output worksheet tables.</t>
  </si>
  <si>
    <t>Observed Share of Change for One Reference Area Component and Many Study Area Components</t>
  </si>
  <si>
    <t>Share-Trend Projection for One Study Area Component</t>
  </si>
  <si>
    <t>Plus-Minus Adjustment for Share-of-Change Projections for Many Study Area Components and One Reference Area Component</t>
  </si>
  <si>
    <t>Share-Trend Projection for Many Study Area  Components</t>
  </si>
  <si>
    <t>Adjusted-Share-of-Change Projections for Many Study Area Components and One Reference Area Component</t>
  </si>
  <si>
    <t/>
  </si>
  <si>
    <r>
      <t xml:space="preserve">The Share Projection workbook implements the share  projection methods described in Chapter 4 and pages 152 through 161 of Richard E. Klosterman, Kerry Brooks, Joshua Drucker, Edward Feser, and Henry Renski. </t>
    </r>
    <r>
      <rPr>
        <i/>
        <sz val="12"/>
        <color theme="1"/>
        <rFont val="Calibri"/>
        <family val="2"/>
        <scheme val="minor"/>
      </rPr>
      <t xml:space="preserve">Planning Support Methods: Urban and Regional Analysis and Projection </t>
    </r>
    <r>
      <rPr>
        <sz val="12"/>
        <color theme="1"/>
        <rFont val="Calibri"/>
        <family val="2"/>
        <scheme val="minor"/>
      </rPr>
      <t>(Rowman and Littlefield: 2018)</t>
    </r>
    <r>
      <rPr>
        <i/>
        <sz val="12"/>
        <color theme="1"/>
        <rFont val="Calibri"/>
        <family val="2"/>
        <scheme val="minor"/>
      </rPr>
      <t xml:space="preserve">. </t>
    </r>
    <r>
      <rPr>
        <sz val="12"/>
        <color theme="1"/>
        <rFont val="Calibri"/>
        <family val="2"/>
        <scheme val="minor"/>
      </rPr>
      <t xml:space="preserve">The workbook is distributed with population and employment data for the City of Decatur and DeKalb County, Georgia, that are used in these sections of the </t>
    </r>
    <r>
      <rPr>
        <i/>
        <sz val="12"/>
        <color theme="1"/>
        <rFont val="Calibri"/>
        <family val="2"/>
        <scheme val="minor"/>
      </rPr>
      <t>Planning Support Methods</t>
    </r>
    <r>
      <rPr>
        <sz val="12"/>
        <color theme="1"/>
        <rFont val="Calibri"/>
        <family val="2"/>
        <scheme val="minor"/>
      </rPr>
      <t xml:space="preserve"> text.</t>
    </r>
  </si>
  <si>
    <t xml:space="preserve">The Share Projection workbook has five worksheets: </t>
  </si>
  <si>
    <t>Share-of-Change Projections for One Reference Area Component and Many Study Area Components</t>
  </si>
  <si>
    <r>
      <t xml:space="preserve">(6) </t>
    </r>
    <r>
      <rPr>
        <b/>
        <sz val="12"/>
        <color theme="1"/>
        <rFont val="Calibri"/>
        <family val="2"/>
        <scheme val="minor"/>
      </rPr>
      <t>Base Year</t>
    </r>
    <r>
      <rPr>
        <sz val="12"/>
        <color theme="1"/>
        <rFont val="Calibri"/>
        <family val="2"/>
        <scheme val="minor"/>
      </rPr>
      <t xml:space="preserve">, the first year for computing the share projections. </t>
    </r>
  </si>
  <si>
    <t>Observed Share-of-Change for One Study Area Component</t>
  </si>
  <si>
    <t>Share Projection Input Data</t>
  </si>
  <si>
    <t>Share Projection_1.03.xlsx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</si>
</sst>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0.0000"/>
    <numFmt numFmtId="166" formatCode="#,##0.000"/>
    <numFmt numFmtId="167" formatCode="0.0%"/>
    <numFmt numFmtId="168" formatCode="#,##0.0000"/>
    <numFmt numFmtId="169" formatCode="0.000"/>
  </numFmts>
  <fonts count="27"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12"/>
      <name val="Calibri"/>
      <family val="2"/>
      <scheme val="minor"/>
    </font>
    <font>
      <b/>
      <sz val="12"/>
      <color theme="1"/>
      <name val="Calibri"/>
      <family val="2"/>
      <scheme val="minor"/>
    </font>
    <font>
      <sz val="12"/>
      <color theme="1"/>
      <name val="Calibri"/>
      <family val="2"/>
      <scheme val="minor"/>
    </font>
    <font>
      <i/>
      <sz val="12"/>
      <color theme="1"/>
      <name val="Calibri"/>
      <family val="2"/>
      <scheme val="minor"/>
    </font>
    <font>
      <u/>
      <sz val="11"/>
      <color theme="10"/>
      <name val="Calibri"/>
      <family val="2"/>
      <scheme val="minor"/>
    </font>
    <font>
      <b/>
      <sz val="14"/>
      <color theme="1"/>
      <name val="Calibri"/>
      <family val="2"/>
      <scheme val="minor"/>
    </font>
    <font>
      <sz val="12"/>
      <color theme="1"/>
      <name val="Times New Roman"/>
      <family val="1"/>
    </font>
    <font>
      <sz val="11"/>
      <color theme="1"/>
      <name val="Calibri"/>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79998168889431442"/>
        <bgColor indexed="64"/>
      </patternFill>
    </fill>
  </fills>
  <borders count="5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right/>
      <top style="medium">
        <color indexed="64"/>
      </top>
      <bottom/>
      <diagonal/>
    </border>
    <border>
      <left/>
      <right style="medium">
        <color indexed="64"/>
      </right>
      <top style="medium">
        <color indexed="64"/>
      </top>
      <bottom/>
      <diagonal/>
    </border>
    <border>
      <left/>
      <right style="thin">
        <color indexed="64"/>
      </right>
      <top/>
      <bottom/>
      <diagonal/>
    </border>
    <border>
      <left/>
      <right/>
      <top style="medium">
        <color indexed="64"/>
      </top>
      <bottom style="thin">
        <color auto="1"/>
      </bottom>
      <diagonal/>
    </border>
    <border>
      <left/>
      <right style="medium">
        <color indexed="64"/>
      </right>
      <top style="medium">
        <color indexed="64"/>
      </top>
      <bottom style="thin">
        <color indexed="64"/>
      </bottom>
      <diagonal/>
    </border>
    <border>
      <left/>
      <right style="thin">
        <color indexed="64"/>
      </right>
      <top style="thin">
        <color indexed="64"/>
      </top>
      <bottom/>
      <diagonal/>
    </border>
    <border>
      <left style="thin">
        <color indexed="64"/>
      </left>
      <right/>
      <top style="medium">
        <color indexed="64"/>
      </top>
      <bottom style="thin">
        <color auto="1"/>
      </bottom>
      <diagonal/>
    </border>
    <border>
      <left style="medium">
        <color auto="1"/>
      </left>
      <right/>
      <top/>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auto="1"/>
      </bottom>
      <diagonal/>
    </border>
    <border>
      <left style="thin">
        <color indexed="64"/>
      </left>
      <right style="thin">
        <color indexed="64"/>
      </right>
      <top style="medium">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medium">
        <color indexed="64"/>
      </bottom>
      <diagonal/>
    </border>
    <border>
      <left style="thin">
        <color indexed="64"/>
      </left>
      <right/>
      <top style="medium">
        <color indexed="64"/>
      </top>
      <bottom/>
      <diagonal/>
    </border>
    <border>
      <left style="thin">
        <color indexed="64"/>
      </left>
      <right/>
      <top style="thin">
        <color indexed="64"/>
      </top>
      <bottom style="medium">
        <color indexed="64"/>
      </bottom>
      <diagonal/>
    </border>
    <border>
      <left/>
      <right style="medium">
        <color auto="1"/>
      </right>
      <top/>
      <bottom/>
      <diagonal/>
    </border>
    <border>
      <left/>
      <right style="medium">
        <color auto="1"/>
      </right>
      <top style="thin">
        <color auto="1"/>
      </top>
      <bottom style="thin">
        <color auto="1"/>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3" fillId="0" borderId="0" applyNumberFormat="0" applyFill="0" applyBorder="0" applyAlignment="0" applyProtection="0"/>
  </cellStyleXfs>
  <cellXfs count="289">
    <xf numFmtId="0" fontId="0" fillId="0" borderId="0" xfId="0"/>
    <xf numFmtId="0" fontId="21" fillId="0" borderId="0" xfId="0" applyFont="1" applyAlignment="1">
      <alignment vertical="center" wrapText="1"/>
    </xf>
    <xf numFmtId="0" fontId="20" fillId="0" borderId="0" xfId="0" applyFont="1" applyAlignment="1">
      <alignment horizontal="center" vertical="center" wrapText="1"/>
    </xf>
    <xf numFmtId="0" fontId="20" fillId="0" borderId="0" xfId="0" applyFont="1" applyAlignment="1">
      <alignment vertical="center" wrapText="1"/>
    </xf>
    <xf numFmtId="0" fontId="21" fillId="0" borderId="0" xfId="0" applyFont="1" applyAlignment="1">
      <alignment horizontal="left" vertical="center" wrapText="1"/>
    </xf>
    <xf numFmtId="0" fontId="23" fillId="0" borderId="0" xfId="42"/>
    <xf numFmtId="0" fontId="24" fillId="0" borderId="0" xfId="0" applyFont="1" applyAlignment="1">
      <alignment horizontal="center" vertical="center" wrapText="1"/>
    </xf>
    <xf numFmtId="0" fontId="21" fillId="0" borderId="0" xfId="0" applyFont="1" applyAlignment="1">
      <alignment horizontal="right" vertical="center" wrapText="1"/>
    </xf>
    <xf numFmtId="0" fontId="21" fillId="0" borderId="0" xfId="0" quotePrefix="1" applyFont="1" applyAlignment="1">
      <alignment horizontal="left" vertical="center" wrapText="1"/>
    </xf>
    <xf numFmtId="3" fontId="0" fillId="0" borderId="0" xfId="0" quotePrefix="1" applyNumberFormat="1" applyAlignment="1">
      <alignment horizontal="center"/>
    </xf>
    <xf numFmtId="1" fontId="0" fillId="0" borderId="0" xfId="0" applyNumberFormat="1" applyAlignment="1">
      <alignment horizontal="center"/>
    </xf>
    <xf numFmtId="3" fontId="0" fillId="0" borderId="0" xfId="0" applyNumberFormat="1" applyAlignment="1">
      <alignment horizontal="center"/>
    </xf>
    <xf numFmtId="0" fontId="0" fillId="0" borderId="0" xfId="0" quotePrefix="1" applyAlignment="1">
      <alignment horizontal="center"/>
    </xf>
    <xf numFmtId="0" fontId="0" fillId="0" borderId="0" xfId="0" applyAlignment="1">
      <alignment horizontal="center"/>
    </xf>
    <xf numFmtId="3" fontId="0" fillId="0" borderId="0" xfId="0" applyNumberFormat="1"/>
    <xf numFmtId="0" fontId="0" fillId="0" borderId="17" xfId="0" applyBorder="1" applyAlignment="1">
      <alignment horizontal="center"/>
    </xf>
    <xf numFmtId="3" fontId="0" fillId="0" borderId="38" xfId="0" applyNumberFormat="1" applyBorder="1" applyAlignment="1">
      <alignment horizontal="centerContinuous"/>
    </xf>
    <xf numFmtId="0" fontId="0" fillId="0" borderId="38" xfId="0" applyBorder="1" applyAlignment="1">
      <alignment horizontal="centerContinuous"/>
    </xf>
    <xf numFmtId="0" fontId="0" fillId="0" borderId="43" xfId="0" applyBorder="1" applyAlignment="1">
      <alignment horizontal="centerContinuous"/>
    </xf>
    <xf numFmtId="3" fontId="0" fillId="0" borderId="13" xfId="0" applyNumberFormat="1" applyBorder="1" applyAlignment="1">
      <alignment horizontal="center"/>
    </xf>
    <xf numFmtId="3" fontId="0" fillId="0" borderId="35" xfId="0" applyNumberFormat="1" applyBorder="1" applyAlignment="1">
      <alignment horizontal="centerContinuous"/>
    </xf>
    <xf numFmtId="0" fontId="0" fillId="0" borderId="42" xfId="0" applyBorder="1" applyAlignment="1">
      <alignment horizontal="center"/>
    </xf>
    <xf numFmtId="0" fontId="0" fillId="0" borderId="18" xfId="0" applyBorder="1"/>
    <xf numFmtId="0" fontId="0" fillId="0" borderId="10" xfId="0" applyBorder="1" applyAlignment="1">
      <alignment horizontal="center"/>
    </xf>
    <xf numFmtId="0" fontId="0" fillId="0" borderId="14" xfId="0" applyBorder="1" applyAlignment="1">
      <alignment horizontal="center" vertical="center"/>
    </xf>
    <xf numFmtId="3" fontId="0" fillId="0" borderId="18" xfId="0" applyNumberFormat="1" applyBorder="1" applyAlignment="1">
      <alignment horizontal="center"/>
    </xf>
    <xf numFmtId="0" fontId="0" fillId="0" borderId="10" xfId="0" applyBorder="1" applyAlignment="1">
      <alignment horizontal="center" vertical="center"/>
    </xf>
    <xf numFmtId="0" fontId="0" fillId="0" borderId="50" xfId="0" applyBorder="1" applyAlignment="1">
      <alignment horizontal="center" vertical="center"/>
    </xf>
    <xf numFmtId="0" fontId="0" fillId="0" borderId="42" xfId="0" applyBorder="1"/>
    <xf numFmtId="3" fontId="0" fillId="0" borderId="44" xfId="0" quotePrefix="1" applyNumberFormat="1" applyBorder="1" applyAlignment="1">
      <alignment horizontal="center"/>
    </xf>
    <xf numFmtId="3" fontId="0" fillId="0" borderId="57" xfId="0" quotePrefix="1" applyNumberFormat="1" applyBorder="1" applyAlignment="1">
      <alignment horizontal="center"/>
    </xf>
    <xf numFmtId="0" fontId="0" fillId="0" borderId="45" xfId="0" quotePrefix="1" applyBorder="1" applyAlignment="1">
      <alignment horizontal="center"/>
    </xf>
    <xf numFmtId="0" fontId="0" fillId="0" borderId="24" xfId="0" quotePrefix="1" applyBorder="1" applyAlignment="1">
      <alignment horizontal="center"/>
    </xf>
    <xf numFmtId="3" fontId="0" fillId="0" borderId="45" xfId="0" quotePrefix="1" applyNumberFormat="1" applyBorder="1" applyAlignment="1">
      <alignment horizontal="center"/>
    </xf>
    <xf numFmtId="0" fontId="0" fillId="0" borderId="50" xfId="0" quotePrefix="1" applyBorder="1" applyAlignment="1">
      <alignment horizontal="center"/>
    </xf>
    <xf numFmtId="0" fontId="0" fillId="0" borderId="42" xfId="0" quotePrefix="1" applyBorder="1" applyAlignment="1">
      <alignment horizontal="center"/>
    </xf>
    <xf numFmtId="1" fontId="0" fillId="0" borderId="20" xfId="0" applyNumberFormat="1" applyBorder="1" applyAlignment="1">
      <alignment horizontal="center"/>
    </xf>
    <xf numFmtId="3" fontId="0" fillId="0" borderId="10" xfId="0" applyNumberFormat="1" applyBorder="1" applyAlignment="1">
      <alignment horizontal="center"/>
    </xf>
    <xf numFmtId="166" fontId="0" fillId="0" borderId="26" xfId="0" applyNumberFormat="1" applyBorder="1" applyAlignment="1">
      <alignment horizontal="center"/>
    </xf>
    <xf numFmtId="3" fontId="0" fillId="0" borderId="11" xfId="0" quotePrefix="1" applyNumberFormat="1" applyBorder="1" applyAlignment="1">
      <alignment horizontal="center"/>
    </xf>
    <xf numFmtId="1" fontId="0" fillId="0" borderId="18" xfId="0" applyNumberFormat="1" applyBorder="1" applyAlignment="1">
      <alignment horizontal="center"/>
    </xf>
    <xf numFmtId="3" fontId="0" fillId="0" borderId="11" xfId="0" applyNumberFormat="1" applyBorder="1" applyAlignment="1">
      <alignment horizontal="center"/>
    </xf>
    <xf numFmtId="166" fontId="0" fillId="0" borderId="14" xfId="0" applyNumberFormat="1" applyBorder="1" applyAlignment="1">
      <alignment horizontal="center"/>
    </xf>
    <xf numFmtId="0" fontId="0" fillId="0" borderId="35" xfId="0" quotePrefix="1" applyBorder="1" applyAlignment="1">
      <alignment horizontal="center"/>
    </xf>
    <xf numFmtId="0" fontId="0" fillId="0" borderId="0" xfId="0" applyAlignment="1">
      <alignment horizontal="right"/>
    </xf>
    <xf numFmtId="0" fontId="26" fillId="0" borderId="0" xfId="0" applyFont="1" applyAlignment="1">
      <alignment horizontal="center"/>
    </xf>
    <xf numFmtId="0" fontId="0" fillId="0" borderId="0" xfId="0" quotePrefix="1"/>
    <xf numFmtId="3" fontId="0" fillId="0" borderId="21" xfId="0" quotePrefix="1" applyNumberFormat="1" applyBorder="1" applyAlignment="1">
      <alignment horizontal="center"/>
    </xf>
    <xf numFmtId="3" fontId="0" fillId="0" borderId="22" xfId="0" applyNumberFormat="1" applyBorder="1" applyAlignment="1">
      <alignment horizontal="center"/>
    </xf>
    <xf numFmtId="3" fontId="0" fillId="0" borderId="25" xfId="0" quotePrefix="1" applyNumberFormat="1" applyBorder="1" applyAlignment="1">
      <alignment horizontal="center"/>
    </xf>
    <xf numFmtId="1" fontId="0" fillId="0" borderId="17" xfId="0" applyNumberFormat="1" applyBorder="1" applyAlignment="1">
      <alignment horizontal="center"/>
    </xf>
    <xf numFmtId="0" fontId="21" fillId="0" borderId="48" xfId="0" applyFont="1" applyBorder="1" applyAlignment="1">
      <alignment horizontal="center"/>
    </xf>
    <xf numFmtId="0" fontId="25" fillId="0" borderId="48" xfId="0" applyFont="1" applyBorder="1" applyAlignment="1">
      <alignment horizontal="center"/>
    </xf>
    <xf numFmtId="0" fontId="21" fillId="0" borderId="13" xfId="0" applyFont="1" applyBorder="1" applyAlignment="1">
      <alignment horizontal="center"/>
    </xf>
    <xf numFmtId="0" fontId="21" fillId="0" borderId="0" xfId="0" applyFont="1"/>
    <xf numFmtId="0" fontId="21" fillId="0" borderId="11" xfId="0" applyFont="1" applyBorder="1" applyAlignment="1">
      <alignment horizontal="center"/>
    </xf>
    <xf numFmtId="0" fontId="25" fillId="0" borderId="11" xfId="0" applyFont="1" applyBorder="1" applyAlignment="1">
      <alignment horizontal="center"/>
    </xf>
    <xf numFmtId="0" fontId="21" fillId="0" borderId="14" xfId="0" applyFont="1" applyBorder="1" applyAlignment="1">
      <alignment horizontal="center"/>
    </xf>
    <xf numFmtId="0" fontId="25" fillId="0" borderId="11" xfId="0" quotePrefix="1" applyFont="1" applyBorder="1" applyAlignment="1">
      <alignment horizontal="center"/>
    </xf>
    <xf numFmtId="0" fontId="25" fillId="0" borderId="44" xfId="0" quotePrefix="1" applyFont="1" applyBorder="1" applyAlignment="1">
      <alignment horizontal="center"/>
    </xf>
    <xf numFmtId="0" fontId="25" fillId="0" borderId="45" xfId="0" quotePrefix="1" applyFont="1" applyBorder="1" applyAlignment="1">
      <alignment horizontal="center"/>
    </xf>
    <xf numFmtId="0" fontId="21" fillId="0" borderId="45" xfId="0" quotePrefix="1" applyFont="1" applyBorder="1" applyAlignment="1">
      <alignment horizontal="center"/>
    </xf>
    <xf numFmtId="0" fontId="21" fillId="0" borderId="46" xfId="0" quotePrefix="1" applyFont="1" applyBorder="1" applyAlignment="1">
      <alignment horizontal="center"/>
    </xf>
    <xf numFmtId="0" fontId="25" fillId="0" borderId="0" xfId="0" quotePrefix="1" applyFont="1" applyAlignment="1">
      <alignment horizontal="center"/>
    </xf>
    <xf numFmtId="1" fontId="21" fillId="0" borderId="11" xfId="0" applyNumberFormat="1" applyFont="1" applyBorder="1" applyAlignment="1">
      <alignment horizontal="center"/>
    </xf>
    <xf numFmtId="3" fontId="21" fillId="0" borderId="11" xfId="0" applyNumberFormat="1" applyFont="1" applyBorder="1" applyAlignment="1">
      <alignment horizontal="center"/>
    </xf>
    <xf numFmtId="165" fontId="21" fillId="0" borderId="11" xfId="0" applyNumberFormat="1" applyFont="1" applyBorder="1" applyAlignment="1">
      <alignment horizontal="center"/>
    </xf>
    <xf numFmtId="167" fontId="21" fillId="0" borderId="14" xfId="0" applyNumberFormat="1" applyFont="1" applyBorder="1" applyAlignment="1">
      <alignment horizontal="center"/>
    </xf>
    <xf numFmtId="1" fontId="16" fillId="0" borderId="21" xfId="0" quotePrefix="1" applyNumberFormat="1" applyFont="1" applyBorder="1" applyAlignment="1">
      <alignment horizontal="center"/>
    </xf>
    <xf numFmtId="0" fontId="20" fillId="0" borderId="22" xfId="0" quotePrefix="1" applyFont="1" applyBorder="1" applyAlignment="1">
      <alignment horizontal="center"/>
    </xf>
    <xf numFmtId="3" fontId="20" fillId="0" borderId="22" xfId="0" applyNumberFormat="1" applyFont="1" applyBorder="1" applyAlignment="1">
      <alignment horizontal="center"/>
    </xf>
    <xf numFmtId="165" fontId="20" fillId="0" borderId="22" xfId="0" quotePrefix="1" applyNumberFormat="1" applyFont="1" applyBorder="1" applyAlignment="1">
      <alignment horizontal="center"/>
    </xf>
    <xf numFmtId="167" fontId="20" fillId="0" borderId="25" xfId="0" applyNumberFormat="1" applyFont="1" applyBorder="1" applyAlignment="1">
      <alignment horizontal="center"/>
    </xf>
    <xf numFmtId="3" fontId="0" fillId="0" borderId="0" xfId="0" applyNumberFormat="1" applyAlignment="1">
      <alignment horizontal="left"/>
    </xf>
    <xf numFmtId="0" fontId="0" fillId="0" borderId="48" xfId="0" applyBorder="1" applyAlignment="1">
      <alignment horizontal="center"/>
    </xf>
    <xf numFmtId="0" fontId="0" fillId="0" borderId="11" xfId="0" applyBorder="1" applyAlignment="1">
      <alignment horizontal="center"/>
    </xf>
    <xf numFmtId="0" fontId="0" fillId="0" borderId="14" xfId="0" applyBorder="1" applyAlignment="1">
      <alignment horizontal="center"/>
    </xf>
    <xf numFmtId="0" fontId="19" fillId="0" borderId="0" xfId="0" quotePrefix="1" applyFont="1" applyAlignment="1">
      <alignment horizontal="left"/>
    </xf>
    <xf numFmtId="0" fontId="21" fillId="0" borderId="50" xfId="0" quotePrefix="1" applyFont="1" applyBorder="1" applyAlignment="1">
      <alignment horizontal="center"/>
    </xf>
    <xf numFmtId="0" fontId="21" fillId="0" borderId="0" xfId="0" quotePrefix="1" applyFont="1" applyAlignment="1">
      <alignment horizontal="center"/>
    </xf>
    <xf numFmtId="0" fontId="0" fillId="0" borderId="18" xfId="0" applyBorder="1" applyAlignment="1">
      <alignment horizontal="center"/>
    </xf>
    <xf numFmtId="165" fontId="0" fillId="0" borderId="14" xfId="0" applyNumberFormat="1" applyBorder="1" applyAlignment="1">
      <alignment horizontal="center"/>
    </xf>
    <xf numFmtId="1" fontId="26" fillId="0" borderId="0" xfId="0" applyNumberFormat="1" applyFont="1" applyAlignment="1">
      <alignment horizontal="center"/>
    </xf>
    <xf numFmtId="165" fontId="0" fillId="0" borderId="24" xfId="0" applyNumberFormat="1" applyBorder="1" applyAlignment="1">
      <alignment horizontal="center"/>
    </xf>
    <xf numFmtId="0" fontId="16" fillId="0" borderId="21" xfId="0" quotePrefix="1" applyFont="1" applyBorder="1" applyAlignment="1">
      <alignment horizontal="center"/>
    </xf>
    <xf numFmtId="0" fontId="16" fillId="0" borderId="22" xfId="0" quotePrefix="1" applyFont="1" applyBorder="1" applyAlignment="1">
      <alignment horizontal="center"/>
    </xf>
    <xf numFmtId="3" fontId="16" fillId="0" borderId="22" xfId="0" applyNumberFormat="1" applyFont="1" applyBorder="1" applyAlignment="1">
      <alignment horizontal="center"/>
    </xf>
    <xf numFmtId="165" fontId="16" fillId="0" borderId="22" xfId="0" quotePrefix="1" applyNumberFormat="1" applyFont="1" applyBorder="1" applyAlignment="1">
      <alignment horizontal="center"/>
    </xf>
    <xf numFmtId="10" fontId="16" fillId="0" borderId="22" xfId="0" quotePrefix="1" applyNumberFormat="1" applyFont="1" applyBorder="1" applyAlignment="1">
      <alignment horizontal="center"/>
    </xf>
    <xf numFmtId="10" fontId="16" fillId="0" borderId="25" xfId="0" quotePrefix="1" applyNumberFormat="1" applyFont="1" applyBorder="1" applyAlignment="1">
      <alignment horizontal="center"/>
    </xf>
    <xf numFmtId="165" fontId="0" fillId="0" borderId="0" xfId="0" applyNumberFormat="1"/>
    <xf numFmtId="0" fontId="26" fillId="0" borderId="0" xfId="0" applyFont="1" applyAlignment="1">
      <alignment horizontal="right"/>
    </xf>
    <xf numFmtId="0" fontId="21" fillId="0" borderId="0" xfId="0" applyFont="1" applyAlignment="1">
      <alignment horizontal="center"/>
    </xf>
    <xf numFmtId="165" fontId="0" fillId="0" borderId="0" xfId="0" applyNumberFormat="1" applyAlignment="1">
      <alignment horizontal="left"/>
    </xf>
    <xf numFmtId="0" fontId="0" fillId="0" borderId="53" xfId="0" applyBorder="1" applyAlignment="1">
      <alignment horizontal="center"/>
    </xf>
    <xf numFmtId="0" fontId="0" fillId="0" borderId="49" xfId="0" applyBorder="1" applyAlignment="1">
      <alignment horizontal="center"/>
    </xf>
    <xf numFmtId="0" fontId="21" fillId="0" borderId="11" xfId="0" quotePrefix="1" applyFont="1" applyBorder="1" applyAlignment="1">
      <alignment horizontal="center"/>
    </xf>
    <xf numFmtId="0" fontId="21" fillId="0" borderId="49" xfId="0" quotePrefix="1" applyFont="1" applyBorder="1" applyAlignment="1">
      <alignment horizontal="center"/>
    </xf>
    <xf numFmtId="165" fontId="0" fillId="0" borderId="11" xfId="0" applyNumberFormat="1" applyBorder="1" applyAlignment="1">
      <alignment horizontal="center"/>
    </xf>
    <xf numFmtId="3" fontId="0" fillId="0" borderId="49" xfId="0" applyNumberFormat="1" applyBorder="1" applyAlignment="1">
      <alignment horizontal="center"/>
    </xf>
    <xf numFmtId="0" fontId="18" fillId="0" borderId="0" xfId="0" applyFont="1" applyAlignment="1">
      <alignment horizontal="right"/>
    </xf>
    <xf numFmtId="3" fontId="16" fillId="0" borderId="54" xfId="0" applyNumberFormat="1" applyFont="1" applyBorder="1" applyAlignment="1">
      <alignment horizontal="center"/>
    </xf>
    <xf numFmtId="4" fontId="18" fillId="0" borderId="0" xfId="0" applyNumberFormat="1" applyFont="1" applyAlignment="1">
      <alignment horizontal="left"/>
    </xf>
    <xf numFmtId="0" fontId="0" fillId="0" borderId="0" xfId="0" quotePrefix="1" applyAlignment="1">
      <alignment horizontal="right"/>
    </xf>
    <xf numFmtId="0" fontId="21" fillId="0" borderId="41" xfId="0" applyFont="1" applyBorder="1" applyAlignment="1">
      <alignment horizontal="centerContinuous"/>
    </xf>
    <xf numFmtId="0" fontId="21" fillId="0" borderId="43" xfId="0" applyFont="1" applyBorder="1" applyAlignment="1">
      <alignment horizontal="centerContinuous"/>
    </xf>
    <xf numFmtId="0" fontId="21" fillId="0" borderId="12" xfId="0" quotePrefix="1" applyFont="1" applyBorder="1" applyAlignment="1">
      <alignment horizontal="center"/>
    </xf>
    <xf numFmtId="0" fontId="21" fillId="0" borderId="24" xfId="0" quotePrefix="1" applyFont="1" applyBorder="1" applyAlignment="1">
      <alignment horizontal="center"/>
    </xf>
    <xf numFmtId="168" fontId="0" fillId="0" borderId="14" xfId="0" applyNumberFormat="1" applyBorder="1" applyAlignment="1">
      <alignment horizontal="center"/>
    </xf>
    <xf numFmtId="167" fontId="0" fillId="0" borderId="14" xfId="0" applyNumberFormat="1" applyBorder="1" applyAlignment="1">
      <alignment horizontal="center"/>
    </xf>
    <xf numFmtId="167" fontId="16" fillId="0" borderId="25" xfId="0" applyNumberFormat="1" applyFont="1" applyBorder="1" applyAlignment="1">
      <alignment horizontal="center"/>
    </xf>
    <xf numFmtId="0" fontId="21" fillId="0" borderId="0" xfId="0" quotePrefix="1" applyFont="1" applyAlignment="1">
      <alignment horizontal="left"/>
    </xf>
    <xf numFmtId="167" fontId="0" fillId="0" borderId="0" xfId="0" applyNumberFormat="1" applyAlignment="1">
      <alignment horizontal="left"/>
    </xf>
    <xf numFmtId="1" fontId="0" fillId="0" borderId="0" xfId="0" applyNumberFormat="1"/>
    <xf numFmtId="168" fontId="0" fillId="0" borderId="11" xfId="0" applyNumberFormat="1" applyBorder="1" applyAlignment="1">
      <alignment horizontal="center"/>
    </xf>
    <xf numFmtId="167" fontId="0" fillId="0" borderId="49" xfId="0" applyNumberFormat="1" applyBorder="1" applyAlignment="1">
      <alignment horizontal="center"/>
    </xf>
    <xf numFmtId="168" fontId="16" fillId="0" borderId="22" xfId="0" quotePrefix="1" applyNumberFormat="1" applyFont="1" applyBorder="1" applyAlignment="1">
      <alignment horizontal="center"/>
    </xf>
    <xf numFmtId="167" fontId="21" fillId="0" borderId="25" xfId="0" applyNumberFormat="1" applyFont="1" applyBorder="1" applyAlignment="1">
      <alignment horizontal="center"/>
    </xf>
    <xf numFmtId="3" fontId="21" fillId="0" borderId="22" xfId="0" applyNumberFormat="1" applyFont="1" applyBorder="1" applyAlignment="1">
      <alignment horizontal="center"/>
    </xf>
    <xf numFmtId="3" fontId="0" fillId="0" borderId="54" xfId="0" applyNumberFormat="1" applyBorder="1" applyAlignment="1">
      <alignment horizontal="center"/>
    </xf>
    <xf numFmtId="0" fontId="0" fillId="0" borderId="13" xfId="0" applyBorder="1" applyAlignment="1">
      <alignment horizontal="center"/>
    </xf>
    <xf numFmtId="0" fontId="0" fillId="0" borderId="23" xfId="0" applyBorder="1"/>
    <xf numFmtId="0" fontId="0" fillId="0" borderId="12" xfId="0" applyBorder="1" applyAlignment="1">
      <alignment horizontal="center"/>
    </xf>
    <xf numFmtId="0" fontId="0" fillId="0" borderId="24" xfId="0" applyBorder="1" applyAlignment="1">
      <alignment horizontal="center"/>
    </xf>
    <xf numFmtId="0" fontId="0" fillId="0" borderId="20" xfId="0" applyBorder="1" applyAlignment="1">
      <alignment horizontal="center"/>
    </xf>
    <xf numFmtId="168" fontId="0" fillId="0" borderId="26" xfId="0" applyNumberFormat="1" applyBorder="1" applyAlignment="1">
      <alignment horizontal="center"/>
    </xf>
    <xf numFmtId="0" fontId="0" fillId="0" borderId="19" xfId="0" applyBorder="1" applyAlignment="1">
      <alignment horizontal="center"/>
    </xf>
    <xf numFmtId="3" fontId="0" fillId="0" borderId="15" xfId="0" applyNumberFormat="1" applyBorder="1" applyAlignment="1">
      <alignment horizontal="center"/>
    </xf>
    <xf numFmtId="3" fontId="0" fillId="0" borderId="16" xfId="0" quotePrefix="1" applyNumberFormat="1" applyBorder="1" applyAlignment="1">
      <alignment horizontal="center"/>
    </xf>
    <xf numFmtId="0" fontId="0" fillId="0" borderId="47" xfId="0" applyBorder="1" applyAlignment="1">
      <alignment horizontal="centerContinuous"/>
    </xf>
    <xf numFmtId="0" fontId="0" fillId="0" borderId="41" xfId="0" applyBorder="1" applyAlignment="1">
      <alignment horizontal="centerContinuous"/>
    </xf>
    <xf numFmtId="0" fontId="0" fillId="0" borderId="39" xfId="0" applyBorder="1" applyAlignment="1">
      <alignment horizontal="centerContinuous"/>
    </xf>
    <xf numFmtId="0" fontId="0" fillId="0" borderId="26" xfId="0" applyBorder="1" applyAlignment="1">
      <alignment horizontal="center"/>
    </xf>
    <xf numFmtId="0" fontId="0" fillId="0" borderId="23" xfId="0" applyBorder="1" applyAlignment="1">
      <alignment horizontal="center"/>
    </xf>
    <xf numFmtId="0" fontId="0" fillId="0" borderId="51" xfId="0" applyBorder="1" applyAlignment="1">
      <alignment horizontal="center"/>
    </xf>
    <xf numFmtId="0" fontId="21" fillId="0" borderId="51" xfId="0" quotePrefix="1" applyFont="1" applyBorder="1" applyAlignment="1">
      <alignment horizontal="center"/>
    </xf>
    <xf numFmtId="3" fontId="0" fillId="0" borderId="21" xfId="0" applyNumberFormat="1" applyBorder="1" applyAlignment="1">
      <alignment horizontal="center"/>
    </xf>
    <xf numFmtId="168" fontId="0" fillId="0" borderId="22" xfId="0" applyNumberFormat="1" applyBorder="1" applyAlignment="1">
      <alignment horizontal="center"/>
    </xf>
    <xf numFmtId="3" fontId="0" fillId="0" borderId="52" xfId="0" applyNumberFormat="1" applyBorder="1" applyAlignment="1">
      <alignment horizontal="center"/>
    </xf>
    <xf numFmtId="3" fontId="0" fillId="0" borderId="25" xfId="0" applyNumberFormat="1" applyBorder="1" applyAlignment="1">
      <alignment horizontal="center"/>
    </xf>
    <xf numFmtId="3" fontId="0" fillId="0" borderId="48" xfId="0" applyNumberFormat="1" applyBorder="1" applyAlignment="1">
      <alignment horizontal="center"/>
    </xf>
    <xf numFmtId="3" fontId="0" fillId="0" borderId="53" xfId="0" applyNumberFormat="1" applyBorder="1" applyAlignment="1">
      <alignment horizontal="center"/>
    </xf>
    <xf numFmtId="0" fontId="0" fillId="0" borderId="11" xfId="0" applyBorder="1" applyAlignment="1">
      <alignment horizontal="center" vertical="center"/>
    </xf>
    <xf numFmtId="0" fontId="0" fillId="0" borderId="49" xfId="0" applyBorder="1" applyAlignment="1">
      <alignment horizontal="center" vertical="center"/>
    </xf>
    <xf numFmtId="166" fontId="0" fillId="0" borderId="49" xfId="0" applyNumberFormat="1" applyBorder="1" applyAlignment="1">
      <alignment horizontal="center"/>
    </xf>
    <xf numFmtId="168" fontId="0" fillId="0" borderId="0" xfId="0" applyNumberFormat="1" applyAlignment="1">
      <alignment horizontal="center"/>
    </xf>
    <xf numFmtId="0" fontId="21" fillId="0" borderId="42" xfId="0" quotePrefix="1" applyFont="1" applyBorder="1" applyAlignment="1">
      <alignment horizontal="center"/>
    </xf>
    <xf numFmtId="3" fontId="0" fillId="0" borderId="42" xfId="0" applyNumberFormat="1" applyBorder="1" applyAlignment="1">
      <alignment horizontal="center"/>
    </xf>
    <xf numFmtId="3" fontId="16" fillId="0" borderId="54" xfId="0" quotePrefix="1" applyNumberFormat="1" applyFont="1" applyBorder="1" applyAlignment="1">
      <alignment horizontal="center"/>
    </xf>
    <xf numFmtId="169" fontId="21" fillId="0" borderId="25" xfId="0" applyNumberFormat="1" applyFont="1" applyBorder="1" applyAlignment="1">
      <alignment horizontal="center"/>
    </xf>
    <xf numFmtId="0" fontId="0" fillId="0" borderId="0" xfId="0" applyAlignment="1">
      <alignment horizontal="left"/>
    </xf>
    <xf numFmtId="3" fontId="16" fillId="0" borderId="42" xfId="0" applyNumberFormat="1" applyFont="1" applyBorder="1" applyAlignment="1">
      <alignment horizontal="center"/>
    </xf>
    <xf numFmtId="0" fontId="26" fillId="0" borderId="0" xfId="0" applyFont="1"/>
    <xf numFmtId="0" fontId="0" fillId="0" borderId="0" xfId="0" applyAlignment="1" applyProtection="1">
      <alignment horizontal="centerContinuous"/>
      <protection locked="0"/>
    </xf>
    <xf numFmtId="0" fontId="0" fillId="0" borderId="0" xfId="0" applyProtection="1">
      <protection locked="0"/>
    </xf>
    <xf numFmtId="0" fontId="21" fillId="0" borderId="0" xfId="0" quotePrefix="1" applyFont="1" applyAlignment="1" applyProtection="1">
      <alignment horizontal="center"/>
      <protection locked="0"/>
    </xf>
    <xf numFmtId="0" fontId="0" fillId="0" borderId="0" xfId="0" applyAlignment="1">
      <alignment horizontal="centerContinuous"/>
    </xf>
    <xf numFmtId="0" fontId="0" fillId="0" borderId="36" xfId="0" applyBorder="1" applyAlignment="1">
      <alignment horizontal="center"/>
    </xf>
    <xf numFmtId="0" fontId="0" fillId="0" borderId="55" xfId="0" applyBorder="1" applyAlignment="1">
      <alignment horizontal="center"/>
    </xf>
    <xf numFmtId="0" fontId="0" fillId="0" borderId="44" xfId="0" quotePrefix="1" applyBorder="1" applyAlignment="1">
      <alignment horizontal="center"/>
    </xf>
    <xf numFmtId="0" fontId="0" fillId="0" borderId="56" xfId="0" quotePrefix="1" applyBorder="1" applyAlignment="1">
      <alignment horizontal="center"/>
    </xf>
    <xf numFmtId="0" fontId="0" fillId="0" borderId="20" xfId="0" applyBorder="1"/>
    <xf numFmtId="167" fontId="0" fillId="0" borderId="10" xfId="0" applyNumberFormat="1" applyBorder="1" applyAlignment="1">
      <alignment horizontal="center"/>
    </xf>
    <xf numFmtId="3" fontId="0" fillId="0" borderId="40" xfId="0" applyNumberFormat="1" applyBorder="1" applyAlignment="1">
      <alignment horizontal="center"/>
    </xf>
    <xf numFmtId="167" fontId="0" fillId="0" borderId="26" xfId="0" applyNumberFormat="1" applyBorder="1" applyAlignment="1">
      <alignment horizontal="center"/>
    </xf>
    <xf numFmtId="167" fontId="0" fillId="0" borderId="11" xfId="0" applyNumberFormat="1" applyBorder="1" applyAlignment="1">
      <alignment horizontal="center"/>
    </xf>
    <xf numFmtId="3" fontId="0" fillId="0" borderId="37" xfId="0" applyNumberFormat="1" applyBorder="1" applyAlignment="1">
      <alignment horizontal="center"/>
    </xf>
    <xf numFmtId="0" fontId="16" fillId="0" borderId="21" xfId="0" applyFont="1" applyBorder="1"/>
    <xf numFmtId="167" fontId="16" fillId="0" borderId="22" xfId="0" applyNumberFormat="1" applyFont="1" applyBorder="1" applyAlignment="1">
      <alignment horizontal="center"/>
    </xf>
    <xf numFmtId="0" fontId="21" fillId="0" borderId="17" xfId="0" applyFont="1" applyBorder="1" applyAlignment="1">
      <alignment horizontal="center"/>
    </xf>
    <xf numFmtId="0" fontId="0" fillId="0" borderId="48" xfId="0" applyBorder="1"/>
    <xf numFmtId="0" fontId="0" fillId="0" borderId="11" xfId="0" applyBorder="1"/>
    <xf numFmtId="0" fontId="21" fillId="0" borderId="10" xfId="0" applyFont="1" applyBorder="1" applyAlignment="1">
      <alignment horizontal="center"/>
    </xf>
    <xf numFmtId="1" fontId="21" fillId="0" borderId="18" xfId="0" applyNumberFormat="1" applyFont="1" applyBorder="1" applyAlignment="1">
      <alignment horizontal="center"/>
    </xf>
    <xf numFmtId="167" fontId="21" fillId="0" borderId="11" xfId="0" applyNumberFormat="1" applyFont="1" applyBorder="1" applyAlignment="1">
      <alignment horizontal="center"/>
    </xf>
    <xf numFmtId="167" fontId="21" fillId="0" borderId="49" xfId="0" applyNumberFormat="1" applyFont="1" applyBorder="1" applyAlignment="1">
      <alignment horizontal="center"/>
    </xf>
    <xf numFmtId="3" fontId="0" fillId="0" borderId="12" xfId="0" applyNumberFormat="1" applyBorder="1" applyAlignment="1">
      <alignment horizontal="center"/>
    </xf>
    <xf numFmtId="167" fontId="0" fillId="0" borderId="12" xfId="0" applyNumberFormat="1" applyBorder="1" applyAlignment="1">
      <alignment horizontal="center"/>
    </xf>
    <xf numFmtId="167" fontId="0" fillId="0" borderId="24" xfId="0" applyNumberFormat="1" applyBorder="1" applyAlignment="1">
      <alignment horizontal="center"/>
    </xf>
    <xf numFmtId="167" fontId="16" fillId="0" borderId="54" xfId="0" applyNumberFormat="1" applyFont="1" applyBorder="1" applyAlignment="1">
      <alignment horizontal="center"/>
    </xf>
    <xf numFmtId="0" fontId="16" fillId="0" borderId="27" xfId="0" applyFont="1" applyBorder="1" applyAlignment="1">
      <alignment horizontal="centerContinuous"/>
    </xf>
    <xf numFmtId="0" fontId="0" fillId="0" borderId="28" xfId="0" applyBorder="1" applyAlignment="1">
      <alignment horizontal="centerContinuous"/>
    </xf>
    <xf numFmtId="0" fontId="0" fillId="0" borderId="29" xfId="0" applyBorder="1" applyAlignment="1">
      <alignment horizontal="centerContinuous"/>
    </xf>
    <xf numFmtId="0" fontId="0" fillId="0" borderId="30" xfId="0" quotePrefix="1" applyBorder="1" applyAlignment="1">
      <alignment horizontal="right"/>
    </xf>
    <xf numFmtId="0" fontId="0" fillId="0" borderId="31" xfId="0" applyBorder="1"/>
    <xf numFmtId="0" fontId="0" fillId="33" borderId="0" xfId="0" applyFill="1" applyAlignment="1">
      <alignment horizontal="center"/>
    </xf>
    <xf numFmtId="3" fontId="0" fillId="0" borderId="41" xfId="0" applyNumberFormat="1" applyBorder="1" applyAlignment="1">
      <alignment horizontal="centerContinuous"/>
    </xf>
    <xf numFmtId="3" fontId="0" fillId="0" borderId="36" xfId="0" applyNumberFormat="1" applyBorder="1" applyAlignment="1">
      <alignment horizontal="centerContinuous"/>
    </xf>
    <xf numFmtId="0" fontId="0" fillId="0" borderId="30" xfId="0" applyBorder="1" applyAlignment="1">
      <alignment horizontal="right"/>
    </xf>
    <xf numFmtId="0" fontId="0" fillId="0" borderId="0" xfId="0" applyAlignment="1">
      <alignment horizontal="center" vertical="center"/>
    </xf>
    <xf numFmtId="0" fontId="0" fillId="0" borderId="26" xfId="0" applyBorder="1" applyAlignment="1">
      <alignment horizontal="center" vertical="center"/>
    </xf>
    <xf numFmtId="0" fontId="0" fillId="0" borderId="46" xfId="0" quotePrefix="1" applyBorder="1" applyAlignment="1">
      <alignment horizontal="center"/>
    </xf>
    <xf numFmtId="164" fontId="0" fillId="0" borderId="31" xfId="0" applyNumberFormat="1" applyBorder="1" applyAlignment="1">
      <alignment horizontal="center"/>
    </xf>
    <xf numFmtId="1" fontId="0" fillId="33" borderId="20" xfId="0" applyNumberFormat="1" applyFill="1" applyBorder="1" applyAlignment="1">
      <alignment horizontal="center"/>
    </xf>
    <xf numFmtId="3" fontId="0" fillId="33" borderId="10" xfId="0" applyNumberFormat="1" applyFill="1" applyBorder="1" applyAlignment="1">
      <alignment horizontal="center"/>
    </xf>
    <xf numFmtId="3" fontId="0" fillId="33" borderId="26" xfId="0" applyNumberFormat="1" applyFill="1" applyBorder="1" applyAlignment="1">
      <alignment horizontal="center"/>
    </xf>
    <xf numFmtId="0" fontId="0" fillId="33" borderId="20" xfId="0" applyFill="1" applyBorder="1" applyAlignment="1">
      <alignment horizontal="center"/>
    </xf>
    <xf numFmtId="3" fontId="0" fillId="33" borderId="10" xfId="0" quotePrefix="1" applyNumberFormat="1" applyFill="1" applyBorder="1" applyAlignment="1">
      <alignment horizontal="center"/>
    </xf>
    <xf numFmtId="168" fontId="0" fillId="33" borderId="26" xfId="0" quotePrefix="1" applyNumberFormat="1" applyFill="1" applyBorder="1" applyAlignment="1">
      <alignment horizontal="center"/>
    </xf>
    <xf numFmtId="169" fontId="0" fillId="0" borderId="0" xfId="0" quotePrefix="1" applyNumberFormat="1" applyAlignment="1">
      <alignment horizontal="center"/>
    </xf>
    <xf numFmtId="3" fontId="0" fillId="33" borderId="37" xfId="0" quotePrefix="1" applyNumberFormat="1" applyFill="1" applyBorder="1" applyAlignment="1">
      <alignment horizontal="center"/>
    </xf>
    <xf numFmtId="3" fontId="0" fillId="33" borderId="14" xfId="0" quotePrefix="1" applyNumberFormat="1" applyFill="1" applyBorder="1" applyAlignment="1">
      <alignment horizontal="center"/>
    </xf>
    <xf numFmtId="1" fontId="0" fillId="33" borderId="18" xfId="0" applyNumberFormat="1" applyFill="1" applyBorder="1"/>
    <xf numFmtId="3" fontId="0" fillId="33" borderId="11" xfId="0" applyNumberFormat="1" applyFill="1" applyBorder="1" applyAlignment="1">
      <alignment horizontal="center"/>
    </xf>
    <xf numFmtId="3" fontId="0" fillId="33" borderId="14" xfId="0" applyNumberFormat="1" applyFill="1" applyBorder="1" applyAlignment="1">
      <alignment horizontal="center"/>
    </xf>
    <xf numFmtId="0" fontId="0" fillId="33" borderId="18" xfId="0" applyFill="1" applyBorder="1"/>
    <xf numFmtId="0" fontId="0" fillId="33" borderId="11" xfId="0" applyFill="1" applyBorder="1"/>
    <xf numFmtId="0" fontId="0" fillId="33" borderId="14" xfId="0" applyFill="1" applyBorder="1"/>
    <xf numFmtId="169" fontId="0" fillId="0" borderId="0" xfId="0" applyNumberFormat="1" applyAlignment="1">
      <alignment horizontal="center"/>
    </xf>
    <xf numFmtId="3" fontId="0" fillId="0" borderId="19" xfId="0" applyNumberFormat="1" applyBorder="1" applyAlignment="1">
      <alignment horizontal="center"/>
    </xf>
    <xf numFmtId="3" fontId="0" fillId="33" borderId="58" xfId="0" applyNumberFormat="1" applyFill="1" applyBorder="1" applyAlignment="1">
      <alignment horizontal="center"/>
    </xf>
    <xf numFmtId="3" fontId="0" fillId="33" borderId="16" xfId="0" applyNumberFormat="1" applyFill="1" applyBorder="1" applyAlignment="1">
      <alignment horizontal="center"/>
    </xf>
    <xf numFmtId="1" fontId="0" fillId="0" borderId="30" xfId="0" applyNumberFormat="1" applyBorder="1" applyAlignment="1">
      <alignment horizontal="right"/>
    </xf>
    <xf numFmtId="0" fontId="0" fillId="33" borderId="0" xfId="0" applyFill="1"/>
    <xf numFmtId="164" fontId="0" fillId="0" borderId="31" xfId="0" applyNumberFormat="1" applyBorder="1"/>
    <xf numFmtId="0" fontId="0" fillId="0" borderId="30" xfId="0" applyBorder="1"/>
    <xf numFmtId="166" fontId="0" fillId="0" borderId="0" xfId="0" applyNumberFormat="1"/>
    <xf numFmtId="0" fontId="0" fillId="33" borderId="23" xfId="0" applyFill="1" applyBorder="1"/>
    <xf numFmtId="0" fontId="0" fillId="33" borderId="12" xfId="0" applyFill="1" applyBorder="1"/>
    <xf numFmtId="0" fontId="0" fillId="0" borderId="21" xfId="0" applyBorder="1" applyAlignment="1">
      <alignment horizontal="center"/>
    </xf>
    <xf numFmtId="0" fontId="0" fillId="0" borderId="32" xfId="0" applyBorder="1"/>
    <xf numFmtId="0" fontId="0" fillId="0" borderId="33" xfId="0" applyBorder="1"/>
    <xf numFmtId="0" fontId="0" fillId="0" borderId="34" xfId="0" applyBorder="1"/>
    <xf numFmtId="0" fontId="0" fillId="33" borderId="20" xfId="0" quotePrefix="1" applyFill="1" applyBorder="1" applyAlignment="1">
      <alignment horizontal="center"/>
    </xf>
    <xf numFmtId="0" fontId="0" fillId="33" borderId="18" xfId="0" applyFill="1" applyBorder="1" applyAlignment="1">
      <alignment horizontal="center"/>
    </xf>
    <xf numFmtId="3" fontId="0" fillId="33" borderId="40" xfId="0" quotePrefix="1" applyNumberFormat="1" applyFill="1" applyBorder="1" applyAlignment="1">
      <alignment horizontal="center"/>
    </xf>
    <xf numFmtId="0" fontId="0" fillId="33" borderId="18" xfId="0" quotePrefix="1" applyFill="1" applyBorder="1" applyAlignment="1">
      <alignment horizontal="center"/>
    </xf>
    <xf numFmtId="3" fontId="0" fillId="33" borderId="37" xfId="0" applyNumberFormat="1" applyFill="1" applyBorder="1" applyAlignment="1">
      <alignment horizontal="center"/>
    </xf>
    <xf numFmtId="0" fontId="0" fillId="33" borderId="37" xfId="0" applyFill="1" applyBorder="1"/>
    <xf numFmtId="1" fontId="0" fillId="33" borderId="20" xfId="0" quotePrefix="1" applyNumberFormat="1" applyFill="1" applyBorder="1" applyAlignment="1">
      <alignment horizontal="center"/>
    </xf>
    <xf numFmtId="1" fontId="0" fillId="33" borderId="18" xfId="0" applyNumberFormat="1" applyFill="1" applyBorder="1" applyAlignment="1">
      <alignment horizontal="center"/>
    </xf>
    <xf numFmtId="169" fontId="0" fillId="33" borderId="26" xfId="0" quotePrefix="1" applyNumberFormat="1" applyFill="1" applyBorder="1" applyAlignment="1">
      <alignment horizontal="center"/>
    </xf>
    <xf numFmtId="1" fontId="0" fillId="33" borderId="18" xfId="0" quotePrefix="1" applyNumberFormat="1" applyFill="1" applyBorder="1" applyAlignment="1">
      <alignment horizontal="center"/>
    </xf>
    <xf numFmtId="169" fontId="0" fillId="33" borderId="14" xfId="0" applyNumberFormat="1" applyFill="1" applyBorder="1" applyAlignment="1">
      <alignment horizontal="center"/>
    </xf>
    <xf numFmtId="3" fontId="0" fillId="33" borderId="12" xfId="0" applyNumberFormat="1" applyFill="1" applyBorder="1" applyAlignment="1">
      <alignment horizontal="center"/>
    </xf>
    <xf numFmtId="168" fontId="0" fillId="0" borderId="0" xfId="0" applyNumberFormat="1"/>
    <xf numFmtId="0" fontId="0" fillId="0" borderId="0" xfId="0" applyFill="1" applyAlignment="1" applyProtection="1">
      <alignment horizontal="left"/>
      <protection locked="0"/>
    </xf>
    <xf numFmtId="0" fontId="0" fillId="0" borderId="0" xfId="0" quotePrefix="1" applyBorder="1" applyAlignment="1">
      <alignment horizontal="right"/>
    </xf>
    <xf numFmtId="1" fontId="0" fillId="0" borderId="0" xfId="0" applyNumberFormat="1" applyBorder="1" applyAlignment="1">
      <alignment horizontal="right"/>
    </xf>
    <xf numFmtId="0" fontId="0" fillId="0" borderId="0" xfId="0" applyBorder="1" applyAlignment="1">
      <alignment horizontal="right"/>
    </xf>
    <xf numFmtId="0" fontId="16" fillId="0" borderId="0" xfId="0" quotePrefix="1" applyFont="1" applyBorder="1" applyAlignment="1">
      <alignment horizontal="center"/>
    </xf>
    <xf numFmtId="3" fontId="16" fillId="0" borderId="0" xfId="0" applyNumberFormat="1" applyFont="1" applyBorder="1" applyAlignment="1">
      <alignment horizontal="center"/>
    </xf>
    <xf numFmtId="165" fontId="16" fillId="0" borderId="0" xfId="0" quotePrefix="1" applyNumberFormat="1" applyFont="1" applyBorder="1" applyAlignment="1">
      <alignment horizontal="center"/>
    </xf>
    <xf numFmtId="167" fontId="20" fillId="0" borderId="0" xfId="0" applyNumberFormat="1" applyFont="1" applyBorder="1" applyAlignment="1">
      <alignment horizontal="center"/>
    </xf>
    <xf numFmtId="3" fontId="0" fillId="0" borderId="0" xfId="0" applyNumberFormat="1" applyAlignment="1">
      <alignment horizontal="right"/>
    </xf>
    <xf numFmtId="3" fontId="0" fillId="0" borderId="14" xfId="0" applyNumberFormat="1" applyBorder="1" applyAlignment="1">
      <alignment horizontal="center"/>
    </xf>
    <xf numFmtId="1" fontId="0" fillId="0" borderId="12" xfId="0" applyNumberFormat="1" applyBorder="1" applyAlignment="1">
      <alignment horizontal="center"/>
    </xf>
    <xf numFmtId="1" fontId="0" fillId="0" borderId="0" xfId="0" applyNumberFormat="1" applyAlignment="1">
      <alignment horizontal="centerContinuous"/>
    </xf>
    <xf numFmtId="3" fontId="0" fillId="0" borderId="0" xfId="0" applyNumberFormat="1" applyAlignment="1">
      <alignment horizontal="centerContinuous"/>
    </xf>
    <xf numFmtId="1" fontId="0" fillId="0" borderId="0" xfId="0" applyNumberFormat="1" applyFont="1" applyAlignment="1">
      <alignment horizontal="center"/>
    </xf>
    <xf numFmtId="0" fontId="0" fillId="0" borderId="0" xfId="0" applyFont="1" applyAlignment="1">
      <alignment horizontal="right"/>
    </xf>
    <xf numFmtId="165" fontId="0" fillId="0" borderId="0" xfId="0" applyNumberFormat="1" applyFont="1" applyAlignment="1">
      <alignment horizontal="left"/>
    </xf>
    <xf numFmtId="0" fontId="0" fillId="0" borderId="0" xfId="0" applyFont="1"/>
    <xf numFmtId="0" fontId="0" fillId="0" borderId="0" xfId="0" quotePrefix="1" applyFont="1" applyAlignment="1">
      <alignment horizontal="right"/>
    </xf>
    <xf numFmtId="0" fontId="0" fillId="0" borderId="0" xfId="0" applyFont="1" applyAlignment="1">
      <alignment horizontal="left"/>
    </xf>
    <xf numFmtId="3" fontId="0" fillId="0" borderId="0" xfId="0" applyNumberFormat="1" applyFont="1" applyAlignment="1">
      <alignment horizontal="left"/>
    </xf>
    <xf numFmtId="0" fontId="14" fillId="0" borderId="0" xfId="0" applyFont="1"/>
    <xf numFmtId="0" fontId="21" fillId="0" borderId="0" xfId="0" quotePrefix="1" applyFont="1" applyAlignment="1">
      <alignment horizontal="right"/>
    </xf>
    <xf numFmtId="165" fontId="21" fillId="0" borderId="0" xfId="0" quotePrefix="1" applyNumberFormat="1" applyFont="1" applyAlignment="1">
      <alignment horizontal="left"/>
    </xf>
    <xf numFmtId="168" fontId="16" fillId="0" borderId="25" xfId="0" applyNumberFormat="1" applyFont="1" applyBorder="1" applyAlignment="1">
      <alignment horizontal="center"/>
    </xf>
    <xf numFmtId="0" fontId="21" fillId="0" borderId="0" xfId="0" quotePrefix="1" applyFont="1" applyBorder="1" applyAlignment="1">
      <alignment horizontal="center"/>
    </xf>
    <xf numFmtId="3" fontId="0" fillId="0" borderId="0" xfId="0" applyNumberFormat="1" applyBorder="1" applyAlignment="1">
      <alignment horizontal="left"/>
    </xf>
    <xf numFmtId="0" fontId="16" fillId="0" borderId="30" xfId="0" applyFont="1" applyBorder="1" applyAlignment="1">
      <alignment horizontal="centerContinuous"/>
    </xf>
    <xf numFmtId="0" fontId="0" fillId="0" borderId="0" xfId="0" applyBorder="1" applyAlignment="1">
      <alignment horizontal="centerContinuous"/>
    </xf>
    <xf numFmtId="0" fontId="0" fillId="0" borderId="31" xfId="0" applyBorder="1" applyAlignment="1">
      <alignment horizontal="centerContinuous"/>
    </xf>
    <xf numFmtId="0" fontId="0" fillId="33" borderId="0" xfId="0" applyFill="1" applyAlignment="1" applyProtection="1">
      <alignment horizontal="center"/>
      <protection locked="0"/>
    </xf>
    <xf numFmtId="0" fontId="0" fillId="33" borderId="0" xfId="0" applyFill="1" applyProtection="1">
      <protection locked="0"/>
    </xf>
    <xf numFmtId="1" fontId="0" fillId="33" borderId="20" xfId="0" applyNumberFormat="1" applyFill="1" applyBorder="1" applyAlignment="1" applyProtection="1">
      <alignment horizontal="center"/>
      <protection locked="0"/>
    </xf>
    <xf numFmtId="3" fontId="0" fillId="33" borderId="10" xfId="0" applyNumberFormat="1" applyFill="1" applyBorder="1" applyAlignment="1" applyProtection="1">
      <alignment horizontal="center"/>
      <protection locked="0"/>
    </xf>
    <xf numFmtId="3" fontId="0" fillId="33" borderId="26" xfId="0" applyNumberFormat="1" applyFill="1" applyBorder="1" applyAlignment="1" applyProtection="1">
      <alignment horizontal="center"/>
      <protection locked="0"/>
    </xf>
    <xf numFmtId="1" fontId="0" fillId="33" borderId="18" xfId="0" applyNumberFormat="1" applyFill="1" applyBorder="1" applyProtection="1">
      <protection locked="0"/>
    </xf>
    <xf numFmtId="3" fontId="0" fillId="33" borderId="11" xfId="0" applyNumberFormat="1" applyFill="1" applyBorder="1" applyAlignment="1" applyProtection="1">
      <alignment horizontal="center"/>
      <protection locked="0"/>
    </xf>
    <xf numFmtId="3" fontId="0" fillId="33" borderId="14" xfId="0" applyNumberFormat="1" applyFill="1" applyBorder="1" applyAlignment="1" applyProtection="1">
      <alignment horizontal="center"/>
      <protection locked="0"/>
    </xf>
    <xf numFmtId="3" fontId="0" fillId="33" borderId="14" xfId="0" quotePrefix="1" applyNumberFormat="1" applyFill="1" applyBorder="1" applyAlignment="1" applyProtection="1">
      <alignment horizontal="center"/>
      <protection locked="0"/>
    </xf>
    <xf numFmtId="1" fontId="0" fillId="33" borderId="18" xfId="0" applyNumberFormat="1" applyFill="1" applyBorder="1" applyAlignment="1" applyProtection="1">
      <alignment horizontal="center"/>
      <protection locked="0"/>
    </xf>
    <xf numFmtId="0" fontId="0" fillId="33" borderId="18" xfId="0" applyFill="1" applyBorder="1" applyAlignment="1" applyProtection="1">
      <alignment horizontal="center"/>
      <protection locked="0"/>
    </xf>
    <xf numFmtId="0" fontId="0" fillId="33" borderId="20" xfId="0" applyFill="1" applyBorder="1" applyAlignment="1" applyProtection="1">
      <alignment horizontal="center"/>
      <protection locked="0"/>
    </xf>
    <xf numFmtId="3" fontId="0" fillId="33" borderId="10" xfId="0" quotePrefix="1" applyNumberFormat="1" applyFill="1" applyBorder="1" applyAlignment="1" applyProtection="1">
      <alignment horizontal="center"/>
      <protection locked="0"/>
    </xf>
    <xf numFmtId="168" fontId="0" fillId="33" borderId="26" xfId="0" quotePrefix="1" applyNumberFormat="1" applyFill="1" applyBorder="1" applyAlignment="1" applyProtection="1">
      <alignment horizontal="center"/>
      <protection locked="0"/>
    </xf>
    <xf numFmtId="0" fontId="0" fillId="33" borderId="18" xfId="0" applyFill="1" applyBorder="1" applyProtection="1">
      <protection locked="0"/>
    </xf>
    <xf numFmtId="0" fontId="0" fillId="33" borderId="11" xfId="0" applyFill="1" applyBorder="1" applyProtection="1">
      <protection locked="0"/>
    </xf>
    <xf numFmtId="0" fontId="0" fillId="33" borderId="14" xfId="0" applyFill="1" applyBorder="1" applyProtection="1">
      <protection locked="0"/>
    </xf>
    <xf numFmtId="169" fontId="0" fillId="33" borderId="14" xfId="0" applyNumberFormat="1" applyFill="1" applyBorder="1" applyAlignment="1" applyProtection="1">
      <alignment horizontal="center"/>
      <protection locked="0"/>
    </xf>
    <xf numFmtId="0" fontId="0" fillId="33" borderId="37" xfId="0" applyFill="1" applyBorder="1" applyProtection="1">
      <protection locked="0"/>
    </xf>
    <xf numFmtId="0" fontId="0" fillId="33" borderId="23" xfId="0" applyFill="1" applyBorder="1" applyProtection="1">
      <protection locked="0"/>
    </xf>
    <xf numFmtId="0" fontId="0" fillId="33" borderId="12" xfId="0" applyFill="1" applyBorder="1" applyProtection="1">
      <protection locked="0"/>
    </xf>
    <xf numFmtId="3" fontId="0" fillId="33" borderId="37" xfId="0" quotePrefix="1" applyNumberFormat="1" applyFill="1" applyBorder="1" applyAlignment="1" applyProtection="1">
      <alignment horizontal="center"/>
      <protection locked="0"/>
    </xf>
    <xf numFmtId="3" fontId="0" fillId="33" borderId="58" xfId="0" applyNumberFormat="1" applyFill="1" applyBorder="1" applyAlignment="1" applyProtection="1">
      <alignment horizontal="center"/>
      <protection locked="0"/>
    </xf>
    <xf numFmtId="3" fontId="0" fillId="33" borderId="16" xfId="0" applyNumberFormat="1" applyFill="1" applyBorder="1" applyAlignment="1" applyProtection="1">
      <alignment horizontal="center"/>
      <protection locked="0"/>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dick.klosterman@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C2101-0E97-4C61-A803-B37F9620334C}">
  <dimension ref="A1:B66"/>
  <sheetViews>
    <sheetView tabSelected="1" workbookViewId="0"/>
  </sheetViews>
  <sheetFormatPr defaultRowHeight="15" x14ac:dyDescent="0.25"/>
  <cols>
    <col min="1" max="1" width="104.7109375" customWidth="1"/>
    <col min="2" max="2" width="9" customWidth="1"/>
  </cols>
  <sheetData>
    <row r="1" spans="1:2" ht="18.75" x14ac:dyDescent="0.25">
      <c r="A1" s="6" t="s">
        <v>139</v>
      </c>
    </row>
    <row r="2" spans="1:2" ht="15.75" x14ac:dyDescent="0.25">
      <c r="A2" s="3"/>
    </row>
    <row r="3" spans="1:2" ht="74.25" customHeight="1" x14ac:dyDescent="0.25">
      <c r="A3" s="1" t="s">
        <v>133</v>
      </c>
      <c r="B3" s="5"/>
    </row>
    <row r="4" spans="1:2" ht="18" customHeight="1" x14ac:dyDescent="0.25">
      <c r="A4" s="7" t="s">
        <v>19</v>
      </c>
      <c r="B4" s="5" t="s">
        <v>17</v>
      </c>
    </row>
    <row r="5" spans="1:2" ht="15.75" x14ac:dyDescent="0.25">
      <c r="A5" s="1"/>
    </row>
    <row r="6" spans="1:2" ht="15.75" x14ac:dyDescent="0.25">
      <c r="A6" s="7" t="s">
        <v>109</v>
      </c>
      <c r="B6" s="5" t="s">
        <v>18</v>
      </c>
    </row>
    <row r="7" spans="1:2" ht="15.75" x14ac:dyDescent="0.25">
      <c r="A7" s="7"/>
      <c r="B7" s="5"/>
    </row>
    <row r="8" spans="1:2" ht="15.75" x14ac:dyDescent="0.25">
      <c r="A8" s="2" t="s">
        <v>14</v>
      </c>
    </row>
    <row r="9" spans="1:2" ht="15.75" x14ac:dyDescent="0.25">
      <c r="A9" s="4"/>
    </row>
    <row r="10" spans="1:2" ht="15.75" x14ac:dyDescent="0.25">
      <c r="A10" s="4" t="s">
        <v>134</v>
      </c>
    </row>
    <row r="11" spans="1:2" ht="15.75" x14ac:dyDescent="0.25">
      <c r="A11" s="4"/>
    </row>
    <row r="12" spans="1:2" ht="15.75" x14ac:dyDescent="0.25">
      <c r="A12" s="4" t="s">
        <v>110</v>
      </c>
    </row>
    <row r="13" spans="1:2" ht="15.75" x14ac:dyDescent="0.25">
      <c r="A13" s="4"/>
    </row>
    <row r="14" spans="1:2" ht="31.5" x14ac:dyDescent="0.25">
      <c r="A14" s="4" t="s">
        <v>93</v>
      </c>
    </row>
    <row r="15" spans="1:2" ht="15.75" x14ac:dyDescent="0.25">
      <c r="A15" s="4"/>
    </row>
    <row r="16" spans="1:2" ht="47.25" x14ac:dyDescent="0.25">
      <c r="A16" s="4" t="s">
        <v>113</v>
      </c>
    </row>
    <row r="17" spans="1:1" ht="15.75" x14ac:dyDescent="0.25">
      <c r="A17" s="4"/>
    </row>
    <row r="18" spans="1:1" ht="15.75" x14ac:dyDescent="0.25">
      <c r="A18" s="8" t="s">
        <v>111</v>
      </c>
    </row>
    <row r="19" spans="1:1" ht="15.75" x14ac:dyDescent="0.25">
      <c r="A19" s="8"/>
    </row>
    <row r="20" spans="1:1" ht="15.75" x14ac:dyDescent="0.25">
      <c r="A20" s="8" t="s">
        <v>112</v>
      </c>
    </row>
    <row r="21" spans="1:1" ht="15.75" x14ac:dyDescent="0.25">
      <c r="A21" s="8"/>
    </row>
    <row r="22" spans="1:1" ht="15.75" customHeight="1" x14ac:dyDescent="0.25">
      <c r="A22" s="8" t="s">
        <v>114</v>
      </c>
    </row>
    <row r="23" spans="1:1" ht="15.75" customHeight="1" x14ac:dyDescent="0.25">
      <c r="A23" s="8"/>
    </row>
    <row r="24" spans="1:1" ht="15.75" x14ac:dyDescent="0.25">
      <c r="A24" s="8" t="s">
        <v>115</v>
      </c>
    </row>
    <row r="25" spans="1:1" ht="15.75" x14ac:dyDescent="0.25">
      <c r="A25" s="4"/>
    </row>
    <row r="26" spans="1:1" ht="21.75" customHeight="1" x14ac:dyDescent="0.25">
      <c r="A26" s="4" t="s">
        <v>92</v>
      </c>
    </row>
    <row r="27" spans="1:1" ht="15.75" x14ac:dyDescent="0.25">
      <c r="A27" s="4"/>
    </row>
    <row r="28" spans="1:1" ht="31.5" x14ac:dyDescent="0.25">
      <c r="A28" s="4" t="s">
        <v>105</v>
      </c>
    </row>
    <row r="29" spans="1:1" ht="15.75" x14ac:dyDescent="0.25">
      <c r="A29" s="4"/>
    </row>
    <row r="30" spans="1:1" ht="15.75" x14ac:dyDescent="0.25">
      <c r="A30" s="2" t="s">
        <v>15</v>
      </c>
    </row>
    <row r="31" spans="1:1" ht="15.75" x14ac:dyDescent="0.25">
      <c r="A31" s="4"/>
    </row>
    <row r="32" spans="1:1" ht="47.25" x14ac:dyDescent="0.25">
      <c r="A32" s="4" t="s">
        <v>116</v>
      </c>
    </row>
    <row r="33" spans="1:1" ht="15.75" x14ac:dyDescent="0.25">
      <c r="A33" s="4"/>
    </row>
    <row r="34" spans="1:1" ht="15.75" x14ac:dyDescent="0.25">
      <c r="A34" s="4" t="s">
        <v>99</v>
      </c>
    </row>
    <row r="35" spans="1:1" ht="15.75" x14ac:dyDescent="0.25">
      <c r="A35" s="4"/>
    </row>
    <row r="36" spans="1:1" ht="15.75" x14ac:dyDescent="0.25">
      <c r="A36" s="4" t="s">
        <v>125</v>
      </c>
    </row>
    <row r="37" spans="1:1" ht="15.75" x14ac:dyDescent="0.25">
      <c r="A37" s="4"/>
    </row>
    <row r="38" spans="1:1" ht="15.75" x14ac:dyDescent="0.25">
      <c r="A38" s="4" t="s">
        <v>117</v>
      </c>
    </row>
    <row r="39" spans="1:1" ht="15.75" x14ac:dyDescent="0.25">
      <c r="A39" s="4"/>
    </row>
    <row r="40" spans="1:1" ht="15.75" x14ac:dyDescent="0.25">
      <c r="A40" s="4" t="s">
        <v>119</v>
      </c>
    </row>
    <row r="41" spans="1:1" ht="15.75" x14ac:dyDescent="0.25">
      <c r="A41" s="4"/>
    </row>
    <row r="42" spans="1:1" ht="15.75" x14ac:dyDescent="0.25">
      <c r="A42" s="4" t="s">
        <v>118</v>
      </c>
    </row>
    <row r="43" spans="1:1" ht="15.75" x14ac:dyDescent="0.25">
      <c r="A43" s="4"/>
    </row>
    <row r="44" spans="1:1" ht="15.75" x14ac:dyDescent="0.25">
      <c r="A44" s="4" t="s">
        <v>100</v>
      </c>
    </row>
    <row r="45" spans="1:1" ht="15.75" x14ac:dyDescent="0.25">
      <c r="A45" s="4"/>
    </row>
    <row r="46" spans="1:1" ht="15.75" x14ac:dyDescent="0.25">
      <c r="A46" s="4" t="s">
        <v>136</v>
      </c>
    </row>
    <row r="47" spans="1:1" ht="15.75" x14ac:dyDescent="0.25">
      <c r="A47" s="4"/>
    </row>
    <row r="48" spans="1:1" ht="15.75" x14ac:dyDescent="0.25">
      <c r="A48" s="4" t="s">
        <v>120</v>
      </c>
    </row>
    <row r="49" spans="1:1" ht="15.75" x14ac:dyDescent="0.25">
      <c r="A49" s="4"/>
    </row>
    <row r="50" spans="1:1" ht="15.75" x14ac:dyDescent="0.25">
      <c r="A50" s="4" t="s">
        <v>121</v>
      </c>
    </row>
    <row r="51" spans="1:1" ht="15.75" x14ac:dyDescent="0.25">
      <c r="A51" s="4"/>
    </row>
    <row r="52" spans="1:1" ht="31.5" x14ac:dyDescent="0.25">
      <c r="A52" s="4" t="s">
        <v>122</v>
      </c>
    </row>
    <row r="53" spans="1:1" ht="15.75" x14ac:dyDescent="0.25">
      <c r="A53" s="4"/>
    </row>
    <row r="54" spans="1:1" ht="31.5" x14ac:dyDescent="0.25">
      <c r="A54" s="4" t="s">
        <v>126</v>
      </c>
    </row>
    <row r="55" spans="1:1" ht="15.75" x14ac:dyDescent="0.25">
      <c r="A55" s="4"/>
    </row>
    <row r="56" spans="1:1" ht="31.5" x14ac:dyDescent="0.25">
      <c r="A56" s="4" t="s">
        <v>123</v>
      </c>
    </row>
    <row r="57" spans="1:1" ht="15.75" x14ac:dyDescent="0.25">
      <c r="A57" s="4"/>
    </row>
    <row r="58" spans="1:1" ht="15.75" x14ac:dyDescent="0.25">
      <c r="A58" s="2" t="s">
        <v>16</v>
      </c>
    </row>
    <row r="59" spans="1:1" ht="15.75" x14ac:dyDescent="0.25">
      <c r="A59" s="4"/>
    </row>
    <row r="60" spans="1:1" ht="31.5" x14ac:dyDescent="0.25">
      <c r="A60" s="4" t="s">
        <v>106</v>
      </c>
    </row>
    <row r="61" spans="1:1" ht="15.75" x14ac:dyDescent="0.25">
      <c r="A61" s="8"/>
    </row>
    <row r="62" spans="1:1" ht="31.5" x14ac:dyDescent="0.25">
      <c r="A62" s="4" t="s">
        <v>108</v>
      </c>
    </row>
    <row r="63" spans="1:1" ht="15.75" x14ac:dyDescent="0.25">
      <c r="A63" s="4"/>
    </row>
    <row r="64" spans="1:1" ht="47.25" x14ac:dyDescent="0.25">
      <c r="A64" s="4" t="s">
        <v>124</v>
      </c>
    </row>
    <row r="65" spans="1:1" ht="15.75" x14ac:dyDescent="0.25">
      <c r="A65" s="4"/>
    </row>
    <row r="66" spans="1:1" ht="15.75" x14ac:dyDescent="0.25">
      <c r="A66" s="4"/>
    </row>
  </sheetData>
  <sheetProtection algorithmName="SHA-512" hashValue="b7jqTIBbf4DnLlV2KX7L0Dn8kZo0Wfs82+Hrwq6dnWXCeU7m6vRih0L0MNsq8gKKr3znRsLUjCCG3KS3bilFoA==" saltValue="astBd2ZjWdFEZkat7Cf6vw==" spinCount="100000" sheet="1" objects="1" scenarios="1" formatCells="0" formatColumns="0" formatRows="0"/>
  <hyperlinks>
    <hyperlink ref="B6" r:id="rId1" xr:uid="{ADF42A3C-7275-492D-AE74-70274CFAD85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S39"/>
  <sheetViews>
    <sheetView zoomScale="90" zoomScaleNormal="90" workbookViewId="0"/>
  </sheetViews>
  <sheetFormatPr defaultRowHeight="15" x14ac:dyDescent="0.25"/>
  <cols>
    <col min="2" max="2" width="23.42578125" customWidth="1"/>
    <col min="3" max="3" width="17.28515625" customWidth="1"/>
    <col min="4" max="4" width="13.7109375" customWidth="1"/>
    <col min="5" max="5" width="15.140625" customWidth="1"/>
    <col min="6" max="6" width="14.85546875" bestFit="1" customWidth="1"/>
    <col min="7" max="9" width="14.85546875" customWidth="1"/>
    <col min="10" max="10" width="16" bestFit="1" customWidth="1"/>
    <col min="11" max="18" width="16" customWidth="1"/>
    <col min="19" max="19" width="16" bestFit="1" customWidth="1"/>
  </cols>
  <sheetData>
    <row r="1" spans="2:19" ht="15.75" thickBot="1" x14ac:dyDescent="0.3"/>
    <row r="2" spans="2:19" ht="15.75" thickTop="1" x14ac:dyDescent="0.25">
      <c r="B2" s="180"/>
      <c r="C2" s="181"/>
      <c r="D2" s="181"/>
      <c r="E2" s="181"/>
      <c r="F2" s="181"/>
      <c r="G2" s="181"/>
      <c r="H2" s="181"/>
      <c r="I2" s="181"/>
      <c r="J2" s="181"/>
      <c r="K2" s="181"/>
      <c r="L2" s="181"/>
      <c r="M2" s="181"/>
      <c r="N2" s="181"/>
      <c r="O2" s="181"/>
      <c r="P2" s="181"/>
      <c r="Q2" s="181"/>
      <c r="R2" s="182"/>
    </row>
    <row r="3" spans="2:19" x14ac:dyDescent="0.25">
      <c r="B3" s="262" t="s">
        <v>138</v>
      </c>
      <c r="C3" s="263"/>
      <c r="D3" s="263"/>
      <c r="E3" s="263"/>
      <c r="F3" s="263"/>
      <c r="G3" s="263"/>
      <c r="H3" s="263"/>
      <c r="I3" s="263"/>
      <c r="J3" s="263"/>
      <c r="K3" s="263"/>
      <c r="L3" s="263"/>
      <c r="M3" s="263"/>
      <c r="N3" s="263"/>
      <c r="O3" s="263"/>
      <c r="P3" s="263"/>
      <c r="Q3" s="263"/>
      <c r="R3" s="264"/>
    </row>
    <row r="4" spans="2:19" x14ac:dyDescent="0.25">
      <c r="B4" s="183" t="s">
        <v>11</v>
      </c>
      <c r="C4" t="str">
        <f>IF(one.analysis,"Share  Projections: "&amp;study.area&amp;" "&amp;variable&amp;", "&amp;target,IF(one.refer,"Share  Projections: "&amp;refer.area&amp;" "&amp;study.area&amp;" "&amp;variable&amp;", "&amp;target, IF(adjust=1,"Share  Projections: "&amp;study.area&amp;" "&amp;variable&amp;", "&amp;target,"Adjusted Share  Projections: "&amp;study.area&amp;" "&amp;variable&amp;", "&amp;target)))</f>
        <v>Share  Projections: Decatur  Population, 2040</v>
      </c>
      <c r="R4" s="184"/>
    </row>
    <row r="5" spans="2:19" x14ac:dyDescent="0.25">
      <c r="B5" s="183"/>
      <c r="R5" s="184"/>
    </row>
    <row r="6" spans="2:19" x14ac:dyDescent="0.25">
      <c r="B6" s="183"/>
      <c r="E6" t="s">
        <v>96</v>
      </c>
      <c r="I6" t="s">
        <v>97</v>
      </c>
      <c r="O6" t="str">
        <f>IF(one.refer,"",variable&amp;" Adjustment")</f>
        <v/>
      </c>
      <c r="R6" s="184"/>
    </row>
    <row r="7" spans="2:19" ht="15.75" thickBot="1" x14ac:dyDescent="0.3">
      <c r="B7" s="183"/>
      <c r="R7" s="184"/>
    </row>
    <row r="8" spans="2:19" x14ac:dyDescent="0.25">
      <c r="B8" s="183" t="s">
        <v>65</v>
      </c>
      <c r="C8" s="265" t="s">
        <v>63</v>
      </c>
      <c r="D8" s="14"/>
      <c r="E8" s="15" t="str">
        <f>study.label</f>
        <v>City</v>
      </c>
      <c r="F8" s="186" t="str">
        <f>IF(one.refer,variable,study.area&amp;" "&amp;variable)</f>
        <v>Population</v>
      </c>
      <c r="G8" s="131"/>
      <c r="I8" s="15" t="str">
        <f>refer.label</f>
        <v>County</v>
      </c>
      <c r="J8" s="16" t="str">
        <f>IF(one.refer,variable,refer.area&amp;" "&amp;variable)</f>
        <v>Population</v>
      </c>
      <c r="K8" s="17"/>
      <c r="L8" s="18"/>
      <c r="M8" s="19" t="s">
        <v>53</v>
      </c>
      <c r="N8" s="11"/>
      <c r="O8" s="15" t="str">
        <f>IF(adjust.label="","","Area")</f>
        <v/>
      </c>
      <c r="P8" s="20" t="str">
        <f>IF(adjust.label="","",adjust.label)</f>
        <v/>
      </c>
      <c r="Q8" s="187"/>
      <c r="R8" s="184"/>
    </row>
    <row r="9" spans="2:19" x14ac:dyDescent="0.25">
      <c r="B9" s="188" t="s">
        <v>64</v>
      </c>
      <c r="C9" s="265" t="s">
        <v>12</v>
      </c>
      <c r="D9" s="14"/>
      <c r="E9" s="25"/>
      <c r="F9" s="10">
        <f>base.year</f>
        <v>2000</v>
      </c>
      <c r="G9" s="132">
        <f>launch.year</f>
        <v>2010</v>
      </c>
      <c r="I9" s="22"/>
      <c r="J9" s="10">
        <f>base.year</f>
        <v>2000</v>
      </c>
      <c r="K9" s="23">
        <f>launch.year</f>
        <v>2010</v>
      </c>
      <c r="L9" s="23">
        <f>target.year</f>
        <v>2040</v>
      </c>
      <c r="M9" s="24" t="str">
        <f>TEXT(launch.year,0)&amp;"-"&amp;TEXT(target.year,0)</f>
        <v>2010-2040</v>
      </c>
      <c r="N9" s="189"/>
      <c r="O9" s="25"/>
      <c r="P9" s="26" t="str">
        <f>IF(adjust.label="","",launch.year)</f>
        <v/>
      </c>
      <c r="Q9" s="190" t="str">
        <f>IF(adjust.label="","",target.year)</f>
        <v/>
      </c>
      <c r="R9" s="184"/>
      <c r="S9" s="14"/>
    </row>
    <row r="10" spans="2:19" x14ac:dyDescent="0.25">
      <c r="B10" s="188" t="s">
        <v>94</v>
      </c>
      <c r="C10" s="265" t="s">
        <v>54</v>
      </c>
      <c r="D10" s="14"/>
      <c r="E10" s="29" t="s">
        <v>0</v>
      </c>
      <c r="F10" s="33" t="s">
        <v>1</v>
      </c>
      <c r="G10" s="191" t="s">
        <v>2</v>
      </c>
      <c r="I10" s="29" t="s">
        <v>0</v>
      </c>
      <c r="J10" s="30" t="s">
        <v>1</v>
      </c>
      <c r="K10" s="31" t="s">
        <v>2</v>
      </c>
      <c r="L10" s="31" t="s">
        <v>3</v>
      </c>
      <c r="M10" s="32" t="s">
        <v>4</v>
      </c>
      <c r="N10" s="12"/>
      <c r="O10" s="29" t="s">
        <v>0</v>
      </c>
      <c r="P10" s="33" t="s">
        <v>1</v>
      </c>
      <c r="Q10" s="191" t="s">
        <v>2</v>
      </c>
      <c r="R10" s="192"/>
      <c r="S10" s="14"/>
    </row>
    <row r="11" spans="2:19" x14ac:dyDescent="0.25">
      <c r="B11" s="183" t="s">
        <v>95</v>
      </c>
      <c r="C11" s="265" t="s">
        <v>67</v>
      </c>
      <c r="D11" s="14"/>
      <c r="E11" s="267" t="s">
        <v>20</v>
      </c>
      <c r="F11" s="268">
        <v>18147</v>
      </c>
      <c r="G11" s="269">
        <v>19335</v>
      </c>
      <c r="I11" s="276" t="s">
        <v>12</v>
      </c>
      <c r="J11" s="277">
        <v>665865</v>
      </c>
      <c r="K11" s="268">
        <v>691893</v>
      </c>
      <c r="L11" s="268">
        <v>881851</v>
      </c>
      <c r="M11" s="278">
        <v>2.29E-2</v>
      </c>
      <c r="N11" s="199"/>
      <c r="O11" s="25" t="str">
        <f>IF(adjust.label="","",study.area)</f>
        <v/>
      </c>
      <c r="P11" s="286"/>
      <c r="Q11" s="273"/>
      <c r="R11" s="192"/>
      <c r="S11" s="14"/>
    </row>
    <row r="12" spans="2:19" ht="15.75" thickBot="1" x14ac:dyDescent="0.3">
      <c r="B12" s="183" t="s">
        <v>7</v>
      </c>
      <c r="C12" s="265" t="s">
        <v>13</v>
      </c>
      <c r="D12" s="14"/>
      <c r="E12" s="270"/>
      <c r="F12" s="271"/>
      <c r="G12" s="272"/>
      <c r="I12" s="279"/>
      <c r="J12" s="280"/>
      <c r="K12" s="280"/>
      <c r="L12" s="280"/>
      <c r="M12" s="281"/>
      <c r="N12" s="208"/>
      <c r="O12" s="209" t="str">
        <f>IF(adjust.label="","",refer.area)</f>
        <v/>
      </c>
      <c r="P12" s="287"/>
      <c r="Q12" s="288"/>
      <c r="R12" s="192"/>
      <c r="S12" s="14"/>
    </row>
    <row r="13" spans="2:19" x14ac:dyDescent="0.25">
      <c r="B13" s="183" t="s">
        <v>8</v>
      </c>
      <c r="C13" s="265">
        <v>2000</v>
      </c>
      <c r="D13" s="14"/>
      <c r="E13" s="270"/>
      <c r="F13" s="271"/>
      <c r="G13" s="272"/>
      <c r="I13" s="279"/>
      <c r="J13" s="280"/>
      <c r="K13" s="280"/>
      <c r="L13" s="280"/>
      <c r="M13" s="281"/>
      <c r="N13" s="208"/>
      <c r="O13" s="11"/>
      <c r="P13" s="208"/>
      <c r="Q13" s="208"/>
      <c r="R13" s="192"/>
      <c r="S13" s="14"/>
    </row>
    <row r="14" spans="2:19" x14ac:dyDescent="0.25">
      <c r="B14" s="212" t="s">
        <v>9</v>
      </c>
      <c r="C14" s="265">
        <v>2010</v>
      </c>
      <c r="D14" s="14"/>
      <c r="E14" s="270"/>
      <c r="F14" s="271"/>
      <c r="G14" s="272"/>
      <c r="I14" s="279"/>
      <c r="J14" s="280"/>
      <c r="K14" s="280"/>
      <c r="L14" s="280"/>
      <c r="M14" s="281"/>
      <c r="N14" s="208"/>
      <c r="O14" s="11"/>
      <c r="P14" s="208"/>
      <c r="Q14" s="208"/>
      <c r="R14" s="192"/>
      <c r="S14" s="14"/>
    </row>
    <row r="15" spans="2:19" x14ac:dyDescent="0.25">
      <c r="B15" s="188" t="s">
        <v>10</v>
      </c>
      <c r="C15" s="265">
        <v>2040</v>
      </c>
      <c r="D15" s="14"/>
      <c r="E15" s="270"/>
      <c r="F15" s="271"/>
      <c r="G15" s="272"/>
      <c r="I15" s="279"/>
      <c r="J15" s="280"/>
      <c r="K15" s="280"/>
      <c r="L15" s="280"/>
      <c r="M15" s="281"/>
      <c r="N15" s="208"/>
      <c r="O15" s="11"/>
      <c r="P15" s="9"/>
      <c r="Q15" s="9"/>
      <c r="R15" s="192"/>
      <c r="S15" s="14"/>
    </row>
    <row r="16" spans="2:19" x14ac:dyDescent="0.25">
      <c r="B16" s="188" t="s">
        <v>79</v>
      </c>
      <c r="C16" s="266"/>
      <c r="D16" s="14"/>
      <c r="E16" s="270"/>
      <c r="F16" s="271"/>
      <c r="G16" s="272"/>
      <c r="I16" s="279"/>
      <c r="J16" s="280"/>
      <c r="K16" s="280"/>
      <c r="L16" s="280"/>
      <c r="M16" s="281"/>
      <c r="N16" s="208"/>
      <c r="O16" s="11"/>
      <c r="P16" s="11"/>
      <c r="Q16" s="11"/>
      <c r="R16" s="214"/>
      <c r="S16" s="14"/>
    </row>
    <row r="17" spans="2:19" x14ac:dyDescent="0.25">
      <c r="B17" s="215"/>
      <c r="D17" s="14"/>
      <c r="E17" s="270"/>
      <c r="F17" s="271"/>
      <c r="G17" s="272"/>
      <c r="I17" s="279"/>
      <c r="J17" s="280"/>
      <c r="K17" s="280"/>
      <c r="L17" s="280"/>
      <c r="M17" s="281"/>
      <c r="N17" s="208"/>
      <c r="O17" s="11"/>
      <c r="P17" s="208"/>
      <c r="Q17" s="208"/>
      <c r="R17" s="192"/>
      <c r="S17" s="14"/>
    </row>
    <row r="18" spans="2:19" x14ac:dyDescent="0.25">
      <c r="B18" s="188"/>
      <c r="D18" s="14"/>
      <c r="E18" s="270"/>
      <c r="F18" s="271"/>
      <c r="G18" s="272"/>
      <c r="I18" s="279"/>
      <c r="J18" s="283"/>
      <c r="K18" s="280"/>
      <c r="L18" s="280"/>
      <c r="M18" s="281"/>
      <c r="N18" s="208"/>
      <c r="O18" s="11"/>
      <c r="P18" s="208"/>
      <c r="Q18" s="208"/>
      <c r="R18" s="192"/>
      <c r="S18" s="14"/>
    </row>
    <row r="19" spans="2:19" x14ac:dyDescent="0.25">
      <c r="B19" s="188"/>
      <c r="C19" s="216"/>
      <c r="D19" s="14"/>
      <c r="E19" s="270"/>
      <c r="F19" s="271"/>
      <c r="G19" s="273"/>
      <c r="I19" s="279"/>
      <c r="J19" s="283"/>
      <c r="K19" s="280"/>
      <c r="L19" s="280"/>
      <c r="M19" s="281"/>
      <c r="N19" s="208"/>
      <c r="O19" s="11"/>
      <c r="P19" s="208"/>
      <c r="Q19" s="208"/>
      <c r="R19" s="192"/>
      <c r="S19" s="14"/>
    </row>
    <row r="20" spans="2:19" x14ac:dyDescent="0.25">
      <c r="B20" s="215"/>
      <c r="D20" s="14"/>
      <c r="E20" s="270"/>
      <c r="F20" s="271"/>
      <c r="G20" s="273"/>
      <c r="I20" s="279"/>
      <c r="J20" s="280"/>
      <c r="K20" s="280"/>
      <c r="L20" s="280"/>
      <c r="M20" s="281"/>
      <c r="N20" s="208"/>
      <c r="O20" s="11"/>
      <c r="P20" s="208"/>
      <c r="Q20" s="208"/>
      <c r="R20" s="192"/>
      <c r="S20" s="14"/>
    </row>
    <row r="21" spans="2:19" x14ac:dyDescent="0.25">
      <c r="B21" s="215"/>
      <c r="D21" s="14"/>
      <c r="E21" s="270"/>
      <c r="F21" s="271"/>
      <c r="G21" s="273"/>
      <c r="I21" s="279"/>
      <c r="J21" s="280"/>
      <c r="K21" s="280"/>
      <c r="L21" s="280"/>
      <c r="M21" s="281"/>
      <c r="N21" s="208"/>
      <c r="O21" s="11"/>
      <c r="P21" s="208"/>
      <c r="Q21" s="208"/>
      <c r="R21" s="192"/>
      <c r="S21" s="14"/>
    </row>
    <row r="22" spans="2:19" x14ac:dyDescent="0.25">
      <c r="B22" s="215"/>
      <c r="D22" s="14"/>
      <c r="E22" s="270"/>
      <c r="F22" s="271"/>
      <c r="G22" s="273"/>
      <c r="I22" s="279"/>
      <c r="J22" s="280"/>
      <c r="K22" s="280"/>
      <c r="L22" s="280"/>
      <c r="M22" s="281"/>
      <c r="N22" s="208"/>
      <c r="O22" s="11"/>
      <c r="P22" s="208"/>
      <c r="Q22" s="208"/>
      <c r="R22" s="192"/>
      <c r="S22" s="14"/>
    </row>
    <row r="23" spans="2:19" x14ac:dyDescent="0.25">
      <c r="B23" s="215"/>
      <c r="D23" s="14"/>
      <c r="E23" s="270"/>
      <c r="F23" s="271"/>
      <c r="G23" s="273"/>
      <c r="I23" s="274"/>
      <c r="J23" s="271"/>
      <c r="K23" s="271"/>
      <c r="L23" s="271"/>
      <c r="M23" s="282"/>
      <c r="N23" s="208"/>
      <c r="O23" s="11"/>
      <c r="P23" s="208"/>
      <c r="Q23" s="208"/>
      <c r="R23" s="192"/>
      <c r="S23" s="14"/>
    </row>
    <row r="24" spans="2:19" x14ac:dyDescent="0.25">
      <c r="B24" s="215"/>
      <c r="D24" s="14"/>
      <c r="E24" s="270"/>
      <c r="F24" s="271"/>
      <c r="G24" s="273"/>
      <c r="I24" s="274"/>
      <c r="J24" s="271"/>
      <c r="K24" s="271"/>
      <c r="L24" s="271"/>
      <c r="M24" s="282"/>
      <c r="N24" s="208"/>
      <c r="O24" s="11"/>
      <c r="P24" s="208"/>
      <c r="Q24" s="208"/>
      <c r="R24" s="192"/>
      <c r="S24" s="14"/>
    </row>
    <row r="25" spans="2:19" x14ac:dyDescent="0.25">
      <c r="B25" s="215"/>
      <c r="D25" s="14"/>
      <c r="E25" s="270"/>
      <c r="F25" s="271"/>
      <c r="G25" s="273"/>
      <c r="I25" s="279"/>
      <c r="J25" s="283"/>
      <c r="K25" s="280"/>
      <c r="L25" s="280"/>
      <c r="M25" s="281"/>
      <c r="N25" s="208"/>
      <c r="O25" s="11"/>
      <c r="P25" s="208"/>
      <c r="Q25" s="208"/>
      <c r="R25" s="192"/>
      <c r="S25" s="14"/>
    </row>
    <row r="26" spans="2:19" x14ac:dyDescent="0.25">
      <c r="B26" s="215"/>
      <c r="D26" s="14"/>
      <c r="E26" s="270"/>
      <c r="F26" s="271"/>
      <c r="G26" s="273"/>
      <c r="I26" s="279"/>
      <c r="J26" s="283"/>
      <c r="K26" s="280"/>
      <c r="L26" s="280"/>
      <c r="M26" s="281"/>
      <c r="N26" s="208"/>
      <c r="O26" s="11"/>
      <c r="P26" s="208"/>
      <c r="Q26" s="208"/>
      <c r="R26" s="192"/>
      <c r="S26" s="14"/>
    </row>
    <row r="27" spans="2:19" x14ac:dyDescent="0.25">
      <c r="B27" s="215"/>
      <c r="D27" s="14"/>
      <c r="E27" s="275"/>
      <c r="F27" s="271"/>
      <c r="G27" s="272"/>
      <c r="I27" s="279"/>
      <c r="J27" s="283"/>
      <c r="K27" s="280"/>
      <c r="L27" s="280"/>
      <c r="M27" s="281"/>
      <c r="N27" s="208"/>
      <c r="O27" s="11"/>
      <c r="P27" s="208"/>
      <c r="Q27" s="208"/>
      <c r="R27" s="192"/>
      <c r="S27" s="14"/>
    </row>
    <row r="28" spans="2:19" x14ac:dyDescent="0.25">
      <c r="B28" s="215"/>
      <c r="D28" s="14"/>
      <c r="E28" s="275"/>
      <c r="F28" s="271"/>
      <c r="G28" s="272"/>
      <c r="I28" s="279"/>
      <c r="J28" s="283"/>
      <c r="K28" s="280"/>
      <c r="L28" s="280"/>
      <c r="M28" s="281"/>
      <c r="N28" s="208"/>
      <c r="O28" s="11"/>
      <c r="P28" s="208"/>
      <c r="Q28" s="208"/>
      <c r="R28" s="192"/>
      <c r="S28" s="14"/>
    </row>
    <row r="29" spans="2:19" x14ac:dyDescent="0.25">
      <c r="B29" s="215"/>
      <c r="D29" s="14"/>
      <c r="E29" s="275"/>
      <c r="F29" s="271"/>
      <c r="G29" s="272"/>
      <c r="I29" s="279"/>
      <c r="J29" s="280"/>
      <c r="K29" s="280"/>
      <c r="L29" s="280"/>
      <c r="M29" s="281"/>
      <c r="N29" s="208"/>
      <c r="O29" s="11"/>
      <c r="P29" s="208"/>
      <c r="Q29" s="208"/>
      <c r="R29" s="192"/>
      <c r="S29" s="14"/>
    </row>
    <row r="30" spans="2:19" x14ac:dyDescent="0.25">
      <c r="B30" s="215"/>
      <c r="D30" s="14"/>
      <c r="E30" s="275"/>
      <c r="F30" s="271"/>
      <c r="G30" s="272"/>
      <c r="I30" s="279"/>
      <c r="J30" s="280"/>
      <c r="K30" s="280"/>
      <c r="L30" s="280"/>
      <c r="M30" s="281"/>
      <c r="N30" s="208"/>
      <c r="O30" s="11"/>
      <c r="P30" s="208"/>
      <c r="Q30" s="208"/>
      <c r="R30" s="192"/>
      <c r="S30" s="14"/>
    </row>
    <row r="31" spans="2:19" x14ac:dyDescent="0.25">
      <c r="B31" s="215"/>
      <c r="D31" s="14"/>
      <c r="E31" s="275"/>
      <c r="F31" s="271"/>
      <c r="G31" s="272"/>
      <c r="I31" s="279"/>
      <c r="J31" s="280"/>
      <c r="K31" s="280"/>
      <c r="L31" s="280"/>
      <c r="M31" s="281"/>
      <c r="N31" s="208"/>
      <c r="O31" s="11"/>
      <c r="P31" s="208"/>
      <c r="Q31" s="208"/>
      <c r="R31" s="192"/>
      <c r="S31" s="14"/>
    </row>
    <row r="32" spans="2:19" x14ac:dyDescent="0.25">
      <c r="B32" s="215"/>
      <c r="D32" s="14"/>
      <c r="E32" s="275"/>
      <c r="F32" s="271"/>
      <c r="G32" s="272"/>
      <c r="I32" s="279"/>
      <c r="J32" s="280"/>
      <c r="K32" s="280"/>
      <c r="L32" s="280"/>
      <c r="M32" s="281"/>
      <c r="N32" s="208"/>
      <c r="O32" s="11"/>
      <c r="P32" s="208"/>
      <c r="Q32" s="208"/>
      <c r="R32" s="192"/>
      <c r="S32" s="14"/>
    </row>
    <row r="33" spans="2:19" x14ac:dyDescent="0.25">
      <c r="B33" s="215"/>
      <c r="D33" s="14"/>
      <c r="E33" s="275"/>
      <c r="F33" s="271"/>
      <c r="G33" s="272"/>
      <c r="I33" s="279"/>
      <c r="J33" s="280"/>
      <c r="K33" s="280"/>
      <c r="L33" s="280"/>
      <c r="M33" s="281"/>
      <c r="N33" s="208"/>
      <c r="O33" s="11"/>
      <c r="P33" s="208"/>
      <c r="Q33" s="208"/>
      <c r="R33" s="192"/>
      <c r="S33" s="14"/>
    </row>
    <row r="34" spans="2:19" x14ac:dyDescent="0.25">
      <c r="B34" s="215"/>
      <c r="D34" s="14"/>
      <c r="E34" s="275"/>
      <c r="F34" s="271"/>
      <c r="G34" s="272"/>
      <c r="I34" s="279"/>
      <c r="J34" s="280"/>
      <c r="K34" s="280"/>
      <c r="L34" s="280"/>
      <c r="M34" s="281"/>
      <c r="N34" s="208"/>
      <c r="O34" s="11"/>
      <c r="P34" s="208"/>
      <c r="Q34" s="208"/>
      <c r="R34" s="192"/>
      <c r="S34" s="14"/>
    </row>
    <row r="35" spans="2:19" x14ac:dyDescent="0.25">
      <c r="B35" s="215"/>
      <c r="D35" s="14"/>
      <c r="E35" s="275"/>
      <c r="F35" s="271"/>
      <c r="G35" s="272"/>
      <c r="I35" s="284"/>
      <c r="J35" s="285"/>
      <c r="K35" s="280"/>
      <c r="L35" s="280"/>
      <c r="M35" s="281"/>
      <c r="N35" s="208"/>
      <c r="O35" s="11"/>
      <c r="P35" s="208"/>
      <c r="Q35" s="208"/>
      <c r="R35" s="192"/>
      <c r="S35" s="14"/>
    </row>
    <row r="36" spans="2:19" ht="15.75" thickBot="1" x14ac:dyDescent="0.3">
      <c r="B36" s="215"/>
      <c r="D36" s="14"/>
      <c r="E36" s="219" t="s">
        <v>23</v>
      </c>
      <c r="F36" s="48">
        <f>SUM(F11:F35)</f>
        <v>18147</v>
      </c>
      <c r="G36" s="139">
        <f>SUM(G11:G35)</f>
        <v>19335</v>
      </c>
      <c r="I36" s="219" t="s">
        <v>23</v>
      </c>
      <c r="J36" s="48">
        <f t="shared" ref="J36:L36" si="0">SUM(J11:J35)</f>
        <v>665865</v>
      </c>
      <c r="K36" s="48">
        <f t="shared" si="0"/>
        <v>691893</v>
      </c>
      <c r="L36" s="48">
        <f t="shared" si="0"/>
        <v>881851</v>
      </c>
      <c r="M36" s="49" t="s">
        <v>24</v>
      </c>
      <c r="N36" s="9"/>
      <c r="O36" s="11"/>
      <c r="P36" s="9"/>
      <c r="Q36" s="9"/>
      <c r="R36" s="192"/>
      <c r="S36" s="14"/>
    </row>
    <row r="37" spans="2:19" x14ac:dyDescent="0.25">
      <c r="B37" s="215"/>
      <c r="D37" s="14"/>
      <c r="H37" s="9"/>
      <c r="I37" s="9"/>
      <c r="J37" s="9"/>
      <c r="K37" s="9"/>
      <c r="L37" s="9"/>
      <c r="M37" s="9"/>
      <c r="N37" s="9"/>
      <c r="O37" s="9"/>
      <c r="P37" s="9"/>
      <c r="Q37" s="9"/>
      <c r="R37" s="192"/>
      <c r="S37" s="14"/>
    </row>
    <row r="38" spans="2:19" ht="15.75" thickBot="1" x14ac:dyDescent="0.3">
      <c r="B38" s="220"/>
      <c r="C38" s="221"/>
      <c r="D38" s="221"/>
      <c r="E38" s="221"/>
      <c r="F38" s="221"/>
      <c r="G38" s="221"/>
      <c r="H38" s="221"/>
      <c r="I38" s="221"/>
      <c r="J38" s="221"/>
      <c r="K38" s="221"/>
      <c r="L38" s="221"/>
      <c r="M38" s="221"/>
      <c r="N38" s="221"/>
      <c r="O38" s="221"/>
      <c r="P38" s="221"/>
      <c r="Q38" s="221"/>
      <c r="R38" s="222"/>
    </row>
    <row r="39" spans="2:19" ht="15.75" thickTop="1" x14ac:dyDescent="0.25"/>
  </sheetData>
  <sheetProtection algorithmName="SHA-512" hashValue="7UwnyTto7XvF8eSw6B9SCpcBWX5kgrf233h1kCAQwtPgodO6+Jl0tIpDXdEb2v//j/Y08JuOSgv5A1WMtPsBjA==" saltValue="KAAHWtCpPSs7m4A19UBpWw==" spinCount="100000" sheet="1" formatCells="0" formatColumns="0" formatRows="0"/>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6C5EB-946B-4BE5-A508-E23CADE0B477}">
  <dimension ref="B3:R158"/>
  <sheetViews>
    <sheetView workbookViewId="0"/>
  </sheetViews>
  <sheetFormatPr defaultRowHeight="15" x14ac:dyDescent="0.25"/>
  <cols>
    <col min="1" max="1" width="16" customWidth="1"/>
    <col min="2" max="2" width="24.7109375" customWidth="1"/>
    <col min="3" max="3" width="15.7109375" customWidth="1"/>
    <col min="4" max="4" width="10.28515625" customWidth="1"/>
    <col min="5" max="5" width="12" customWidth="1"/>
    <col min="6" max="6" width="12.85546875" customWidth="1"/>
    <col min="7" max="7" width="11.140625" customWidth="1"/>
    <col min="8" max="8" width="11.85546875" customWidth="1"/>
    <col min="9" max="9" width="14.28515625" customWidth="1"/>
    <col min="10" max="10" width="12.42578125" customWidth="1"/>
    <col min="11" max="11" width="12.7109375" customWidth="1"/>
    <col min="12" max="12" width="12.5703125" customWidth="1"/>
    <col min="13" max="13" width="11.5703125" customWidth="1"/>
    <col min="15" max="15" width="14" customWidth="1"/>
    <col min="16" max="16" width="12.42578125" customWidth="1"/>
    <col min="17" max="17" width="10.7109375" customWidth="1"/>
  </cols>
  <sheetData>
    <row r="3" spans="2:18" ht="15.75" thickBot="1" x14ac:dyDescent="0.3"/>
    <row r="4" spans="2:18" ht="15.75" thickTop="1" x14ac:dyDescent="0.25">
      <c r="B4" s="180" t="s">
        <v>101</v>
      </c>
      <c r="C4" s="181"/>
      <c r="D4" s="181"/>
      <c r="E4" s="181"/>
      <c r="F4" s="181"/>
      <c r="G4" s="181"/>
      <c r="H4" s="181"/>
      <c r="I4" s="181"/>
      <c r="J4" s="181"/>
      <c r="K4" s="181"/>
      <c r="L4" s="181"/>
      <c r="M4" s="181"/>
      <c r="N4" s="181"/>
      <c r="O4" s="181"/>
      <c r="P4" s="181"/>
      <c r="Q4" s="181"/>
      <c r="R4" s="182"/>
    </row>
    <row r="5" spans="2:18" x14ac:dyDescent="0.25">
      <c r="B5" s="183"/>
      <c r="R5" s="184"/>
    </row>
    <row r="6" spans="2:18" x14ac:dyDescent="0.25">
      <c r="B6" s="183" t="s">
        <v>11</v>
      </c>
      <c r="C6" t="s">
        <v>84</v>
      </c>
      <c r="R6" s="184"/>
    </row>
    <row r="7" spans="2:18" x14ac:dyDescent="0.25">
      <c r="B7" s="183"/>
      <c r="R7" s="184"/>
    </row>
    <row r="8" spans="2:18" x14ac:dyDescent="0.25">
      <c r="B8" s="183"/>
      <c r="E8" t="s">
        <v>96</v>
      </c>
      <c r="I8" t="s">
        <v>97</v>
      </c>
      <c r="O8" t="s">
        <v>83</v>
      </c>
      <c r="R8" s="184"/>
    </row>
    <row r="9" spans="2:18" ht="15.75" thickBot="1" x14ac:dyDescent="0.3">
      <c r="B9" s="183"/>
      <c r="R9" s="184"/>
    </row>
    <row r="10" spans="2:18" x14ac:dyDescent="0.25">
      <c r="B10" s="183" t="s">
        <v>65</v>
      </c>
      <c r="C10" s="185" t="s">
        <v>63</v>
      </c>
      <c r="D10" s="14"/>
      <c r="E10" s="15" t="s">
        <v>54</v>
      </c>
      <c r="F10" s="186" t="s">
        <v>13</v>
      </c>
      <c r="G10" s="131"/>
      <c r="I10" s="15" t="s">
        <v>67</v>
      </c>
      <c r="J10" s="16" t="s">
        <v>13</v>
      </c>
      <c r="K10" s="17"/>
      <c r="L10" s="18"/>
      <c r="M10" s="19" t="s">
        <v>53</v>
      </c>
      <c r="N10" s="11"/>
      <c r="O10" s="15" t="s">
        <v>132</v>
      </c>
      <c r="P10" s="20" t="s">
        <v>132</v>
      </c>
      <c r="Q10" s="187"/>
      <c r="R10" s="184"/>
    </row>
    <row r="11" spans="2:18" x14ac:dyDescent="0.25">
      <c r="B11" s="188" t="s">
        <v>64</v>
      </c>
      <c r="C11" s="185" t="s">
        <v>12</v>
      </c>
      <c r="D11" s="14"/>
      <c r="E11" s="25"/>
      <c r="F11" s="10">
        <v>2000</v>
      </c>
      <c r="G11" s="132">
        <v>2010</v>
      </c>
      <c r="I11" s="22"/>
      <c r="J11" s="10">
        <v>2000</v>
      </c>
      <c r="K11" s="23">
        <v>2010</v>
      </c>
      <c r="L11" s="23">
        <v>2040</v>
      </c>
      <c r="M11" s="24" t="s">
        <v>85</v>
      </c>
      <c r="N11" s="189"/>
      <c r="O11" s="25"/>
      <c r="P11" s="26" t="s">
        <v>132</v>
      </c>
      <c r="Q11" s="190" t="s">
        <v>132</v>
      </c>
      <c r="R11" s="184"/>
    </row>
    <row r="12" spans="2:18" x14ac:dyDescent="0.25">
      <c r="B12" s="188" t="s">
        <v>94</v>
      </c>
      <c r="C12" s="185" t="s">
        <v>54</v>
      </c>
      <c r="D12" s="14"/>
      <c r="E12" s="29" t="s">
        <v>0</v>
      </c>
      <c r="F12" s="33" t="s">
        <v>1</v>
      </c>
      <c r="G12" s="191" t="s">
        <v>2</v>
      </c>
      <c r="I12" s="29" t="s">
        <v>0</v>
      </c>
      <c r="J12" s="30" t="s">
        <v>1</v>
      </c>
      <c r="K12" s="31" t="s">
        <v>2</v>
      </c>
      <c r="L12" s="31" t="s">
        <v>3</v>
      </c>
      <c r="M12" s="32" t="s">
        <v>4</v>
      </c>
      <c r="N12" s="12"/>
      <c r="O12" s="29" t="s">
        <v>0</v>
      </c>
      <c r="P12" s="33" t="s">
        <v>1</v>
      </c>
      <c r="Q12" s="191" t="s">
        <v>2</v>
      </c>
      <c r="R12" s="192"/>
    </row>
    <row r="13" spans="2:18" x14ac:dyDescent="0.25">
      <c r="B13" s="183" t="s">
        <v>95</v>
      </c>
      <c r="C13" s="185" t="s">
        <v>67</v>
      </c>
      <c r="D13" s="14"/>
      <c r="E13" s="193" t="s">
        <v>20</v>
      </c>
      <c r="F13" s="194">
        <v>18147</v>
      </c>
      <c r="G13" s="195">
        <v>19335</v>
      </c>
      <c r="I13" s="196" t="s">
        <v>12</v>
      </c>
      <c r="J13" s="197">
        <v>665865</v>
      </c>
      <c r="K13" s="194">
        <v>691893</v>
      </c>
      <c r="L13" s="194">
        <v>881851</v>
      </c>
      <c r="M13" s="198">
        <v>2.29E-2</v>
      </c>
      <c r="N13" s="199"/>
      <c r="O13" s="25" t="s">
        <v>132</v>
      </c>
      <c r="P13" s="200"/>
      <c r="Q13" s="201"/>
      <c r="R13" s="192"/>
    </row>
    <row r="14" spans="2:18" ht="15.75" thickBot="1" x14ac:dyDescent="0.3">
      <c r="B14" s="183" t="s">
        <v>7</v>
      </c>
      <c r="C14" s="185" t="s">
        <v>13</v>
      </c>
      <c r="D14" s="14"/>
      <c r="E14" s="202"/>
      <c r="F14" s="203"/>
      <c r="G14" s="204"/>
      <c r="I14" s="205"/>
      <c r="J14" s="206"/>
      <c r="K14" s="206"/>
      <c r="L14" s="206"/>
      <c r="M14" s="207"/>
      <c r="N14" s="208"/>
      <c r="O14" s="209" t="s">
        <v>132</v>
      </c>
      <c r="P14" s="210"/>
      <c r="Q14" s="211"/>
      <c r="R14" s="192"/>
    </row>
    <row r="15" spans="2:18" x14ac:dyDescent="0.25">
      <c r="B15" s="183" t="s">
        <v>8</v>
      </c>
      <c r="C15" s="185">
        <v>2000</v>
      </c>
      <c r="D15" s="14"/>
      <c r="E15" s="202"/>
      <c r="F15" s="203"/>
      <c r="G15" s="204"/>
      <c r="I15" s="205"/>
      <c r="J15" s="206"/>
      <c r="K15" s="206"/>
      <c r="L15" s="206"/>
      <c r="M15" s="207"/>
      <c r="N15" s="208"/>
      <c r="O15" s="11"/>
      <c r="P15" s="208"/>
      <c r="Q15" s="208"/>
      <c r="R15" s="192"/>
    </row>
    <row r="16" spans="2:18" x14ac:dyDescent="0.25">
      <c r="B16" s="212" t="s">
        <v>9</v>
      </c>
      <c r="C16" s="185">
        <v>2010</v>
      </c>
      <c r="D16" s="14"/>
      <c r="E16" s="202"/>
      <c r="F16" s="203"/>
      <c r="G16" s="204"/>
      <c r="I16" s="205"/>
      <c r="J16" s="206"/>
      <c r="K16" s="206"/>
      <c r="L16" s="206"/>
      <c r="M16" s="207"/>
      <c r="N16" s="208"/>
      <c r="O16" s="11"/>
      <c r="P16" s="208"/>
      <c r="Q16" s="208"/>
      <c r="R16" s="192"/>
    </row>
    <row r="17" spans="2:18" x14ac:dyDescent="0.25">
      <c r="B17" s="188" t="s">
        <v>10</v>
      </c>
      <c r="C17" s="185">
        <v>2040</v>
      </c>
      <c r="D17" s="14"/>
      <c r="E17" s="202"/>
      <c r="F17" s="203"/>
      <c r="G17" s="204"/>
      <c r="I17" s="205"/>
      <c r="J17" s="206"/>
      <c r="K17" s="206"/>
      <c r="L17" s="206"/>
      <c r="M17" s="207"/>
      <c r="N17" s="208"/>
      <c r="O17" s="11"/>
      <c r="P17" s="9"/>
      <c r="Q17" s="9"/>
      <c r="R17" s="192"/>
    </row>
    <row r="18" spans="2:18" x14ac:dyDescent="0.25">
      <c r="B18" s="188" t="s">
        <v>79</v>
      </c>
      <c r="C18" s="213"/>
      <c r="D18" s="14"/>
      <c r="E18" s="202"/>
      <c r="F18" s="203"/>
      <c r="G18" s="204"/>
      <c r="I18" s="205"/>
      <c r="J18" s="206"/>
      <c r="K18" s="206"/>
      <c r="L18" s="206"/>
      <c r="M18" s="207"/>
      <c r="N18" s="208"/>
      <c r="O18" s="11"/>
      <c r="P18" s="11"/>
      <c r="Q18" s="11"/>
      <c r="R18" s="214"/>
    </row>
    <row r="19" spans="2:18" x14ac:dyDescent="0.25">
      <c r="B19" s="215"/>
      <c r="D19" s="14"/>
      <c r="E19" s="202"/>
      <c r="F19" s="203"/>
      <c r="G19" s="204"/>
      <c r="I19" s="205"/>
      <c r="J19" s="206"/>
      <c r="K19" s="206"/>
      <c r="L19" s="206"/>
      <c r="M19" s="207"/>
      <c r="N19" s="208"/>
      <c r="O19" s="11"/>
      <c r="P19" s="208"/>
      <c r="Q19" s="208"/>
      <c r="R19" s="192"/>
    </row>
    <row r="20" spans="2:18" x14ac:dyDescent="0.25">
      <c r="B20" s="188"/>
      <c r="D20" s="14"/>
      <c r="E20" s="202"/>
      <c r="F20" s="203"/>
      <c r="G20" s="204"/>
      <c r="I20" s="205"/>
      <c r="J20" s="206"/>
      <c r="K20" s="206"/>
      <c r="L20" s="206"/>
      <c r="M20" s="207"/>
      <c r="N20" s="208"/>
      <c r="O20" s="11"/>
      <c r="P20" s="208"/>
      <c r="Q20" s="208"/>
      <c r="R20" s="192"/>
    </row>
    <row r="21" spans="2:18" x14ac:dyDescent="0.25">
      <c r="B21" s="188"/>
      <c r="C21" s="216"/>
      <c r="D21" s="14"/>
      <c r="E21" s="202"/>
      <c r="F21" s="203"/>
      <c r="G21" s="201"/>
      <c r="I21" s="205"/>
      <c r="J21" s="206"/>
      <c r="K21" s="206"/>
      <c r="L21" s="206"/>
      <c r="M21" s="207"/>
      <c r="N21" s="208"/>
      <c r="O21" s="11"/>
      <c r="P21" s="208"/>
      <c r="Q21" s="208"/>
      <c r="R21" s="192"/>
    </row>
    <row r="22" spans="2:18" x14ac:dyDescent="0.25">
      <c r="B22" s="215"/>
      <c r="D22" s="14"/>
      <c r="E22" s="202"/>
      <c r="F22" s="203"/>
      <c r="G22" s="201"/>
      <c r="I22" s="205"/>
      <c r="J22" s="206"/>
      <c r="K22" s="206"/>
      <c r="L22" s="206"/>
      <c r="M22" s="207"/>
      <c r="N22" s="208"/>
      <c r="O22" s="11"/>
      <c r="P22" s="208"/>
      <c r="Q22" s="208"/>
      <c r="R22" s="192"/>
    </row>
    <row r="23" spans="2:18" x14ac:dyDescent="0.25">
      <c r="B23" s="215"/>
      <c r="D23" s="14"/>
      <c r="E23" s="202"/>
      <c r="F23" s="203"/>
      <c r="G23" s="201"/>
      <c r="I23" s="205"/>
      <c r="J23" s="206"/>
      <c r="K23" s="206"/>
      <c r="L23" s="206"/>
      <c r="M23" s="207"/>
      <c r="N23" s="208"/>
      <c r="O23" s="11"/>
      <c r="P23" s="208"/>
      <c r="Q23" s="208"/>
      <c r="R23" s="192"/>
    </row>
    <row r="24" spans="2:18" x14ac:dyDescent="0.25">
      <c r="B24" s="215"/>
      <c r="D24" s="14"/>
      <c r="E24" s="202"/>
      <c r="F24" s="203"/>
      <c r="G24" s="201"/>
      <c r="I24" s="205"/>
      <c r="J24" s="206"/>
      <c r="K24" s="206"/>
      <c r="L24" s="206"/>
      <c r="M24" s="207"/>
      <c r="N24" s="208"/>
      <c r="O24" s="11"/>
      <c r="P24" s="208"/>
      <c r="Q24" s="208"/>
      <c r="R24" s="192"/>
    </row>
    <row r="25" spans="2:18" x14ac:dyDescent="0.25">
      <c r="B25" s="215"/>
      <c r="D25" s="14"/>
      <c r="E25" s="202"/>
      <c r="F25" s="203"/>
      <c r="G25" s="201"/>
      <c r="I25" s="205"/>
      <c r="J25" s="206"/>
      <c r="K25" s="206"/>
      <c r="L25" s="206"/>
      <c r="M25" s="207"/>
      <c r="N25" s="208"/>
      <c r="O25" s="11"/>
      <c r="P25" s="208"/>
      <c r="Q25" s="208"/>
      <c r="R25" s="192"/>
    </row>
    <row r="26" spans="2:18" x14ac:dyDescent="0.25">
      <c r="B26" s="215"/>
      <c r="D26" s="14"/>
      <c r="E26" s="202"/>
      <c r="F26" s="203"/>
      <c r="G26" s="201"/>
      <c r="I26" s="205"/>
      <c r="J26" s="206"/>
      <c r="K26" s="206"/>
      <c r="L26" s="206"/>
      <c r="M26" s="207"/>
      <c r="N26" s="208"/>
      <c r="O26" s="11"/>
      <c r="P26" s="208"/>
      <c r="Q26" s="208"/>
      <c r="R26" s="192"/>
    </row>
    <row r="27" spans="2:18" x14ac:dyDescent="0.25">
      <c r="B27" s="215"/>
      <c r="D27" s="14"/>
      <c r="E27" s="202"/>
      <c r="F27" s="203"/>
      <c r="G27" s="201"/>
      <c r="I27" s="205"/>
      <c r="J27" s="206"/>
      <c r="K27" s="206"/>
      <c r="L27" s="206"/>
      <c r="M27" s="207"/>
      <c r="N27" s="208"/>
      <c r="O27" s="11"/>
      <c r="P27" s="208"/>
      <c r="Q27" s="208"/>
      <c r="R27" s="192"/>
    </row>
    <row r="28" spans="2:18" x14ac:dyDescent="0.25">
      <c r="B28" s="215"/>
      <c r="D28" s="14"/>
      <c r="E28" s="202"/>
      <c r="F28" s="203"/>
      <c r="G28" s="201"/>
      <c r="I28" s="205"/>
      <c r="J28" s="206"/>
      <c r="K28" s="206"/>
      <c r="L28" s="206"/>
      <c r="M28" s="207"/>
      <c r="N28" s="208"/>
      <c r="O28" s="11"/>
      <c r="P28" s="208"/>
      <c r="Q28" s="208"/>
      <c r="R28" s="192"/>
    </row>
    <row r="29" spans="2:18" x14ac:dyDescent="0.25">
      <c r="B29" s="215"/>
      <c r="D29" s="14"/>
      <c r="E29" s="202"/>
      <c r="F29" s="203"/>
      <c r="G29" s="201"/>
      <c r="I29" s="205"/>
      <c r="J29" s="206"/>
      <c r="K29" s="206"/>
      <c r="L29" s="206"/>
      <c r="M29" s="207"/>
      <c r="N29" s="208"/>
      <c r="O29" s="11"/>
      <c r="P29" s="208"/>
      <c r="Q29" s="208"/>
      <c r="R29" s="192"/>
    </row>
    <row r="30" spans="2:18" x14ac:dyDescent="0.25">
      <c r="B30" s="215"/>
      <c r="D30" s="14"/>
      <c r="E30" s="202"/>
      <c r="F30" s="203"/>
      <c r="G30" s="201"/>
      <c r="I30" s="205"/>
      <c r="J30" s="206"/>
      <c r="K30" s="206"/>
      <c r="L30" s="206"/>
      <c r="M30" s="207"/>
      <c r="N30" s="208"/>
      <c r="O30" s="11"/>
      <c r="P30" s="208"/>
      <c r="Q30" s="208"/>
      <c r="R30" s="192"/>
    </row>
    <row r="31" spans="2:18" x14ac:dyDescent="0.25">
      <c r="B31" s="215"/>
      <c r="D31" s="14"/>
      <c r="E31" s="202"/>
      <c r="F31" s="203"/>
      <c r="G31" s="201"/>
      <c r="I31" s="205"/>
      <c r="J31" s="206"/>
      <c r="K31" s="206"/>
      <c r="L31" s="206"/>
      <c r="M31" s="207"/>
      <c r="N31" s="208"/>
      <c r="O31" s="11"/>
      <c r="P31" s="208"/>
      <c r="Q31" s="208"/>
      <c r="R31" s="192"/>
    </row>
    <row r="32" spans="2:18" x14ac:dyDescent="0.25">
      <c r="B32" s="215"/>
      <c r="D32" s="14"/>
      <c r="E32" s="202"/>
      <c r="F32" s="203"/>
      <c r="G32" s="201"/>
      <c r="I32" s="205"/>
      <c r="J32" s="206"/>
      <c r="K32" s="206"/>
      <c r="L32" s="206"/>
      <c r="M32" s="207"/>
      <c r="N32" s="208"/>
      <c r="O32" s="11"/>
      <c r="P32" s="208"/>
      <c r="Q32" s="208"/>
      <c r="R32" s="192"/>
    </row>
    <row r="33" spans="2:18" x14ac:dyDescent="0.25">
      <c r="B33" s="215"/>
      <c r="D33" s="14"/>
      <c r="E33" s="202"/>
      <c r="F33" s="203"/>
      <c r="G33" s="201"/>
      <c r="I33" s="205"/>
      <c r="J33" s="206"/>
      <c r="K33" s="206"/>
      <c r="L33" s="206"/>
      <c r="M33" s="207"/>
      <c r="N33" s="208"/>
      <c r="O33" s="11"/>
      <c r="P33" s="208"/>
      <c r="Q33" s="208"/>
      <c r="R33" s="192"/>
    </row>
    <row r="34" spans="2:18" x14ac:dyDescent="0.25">
      <c r="B34" s="215"/>
      <c r="D34" s="14"/>
      <c r="E34" s="202"/>
      <c r="F34" s="203"/>
      <c r="G34" s="201"/>
      <c r="I34" s="205"/>
      <c r="J34" s="206"/>
      <c r="K34" s="206"/>
      <c r="L34" s="206"/>
      <c r="M34" s="207"/>
      <c r="N34" s="208"/>
      <c r="O34" s="11"/>
      <c r="P34" s="208"/>
      <c r="Q34" s="208"/>
      <c r="R34" s="192"/>
    </row>
    <row r="35" spans="2:18" x14ac:dyDescent="0.25">
      <c r="B35" s="215"/>
      <c r="D35" s="14"/>
      <c r="E35" s="202"/>
      <c r="F35" s="203"/>
      <c r="G35" s="201"/>
      <c r="I35" s="205"/>
      <c r="J35" s="206"/>
      <c r="K35" s="206"/>
      <c r="L35" s="206"/>
      <c r="M35" s="207"/>
      <c r="N35" s="208"/>
      <c r="O35" s="11"/>
      <c r="P35" s="208"/>
      <c r="Q35" s="208"/>
      <c r="R35" s="192"/>
    </row>
    <row r="36" spans="2:18" x14ac:dyDescent="0.25">
      <c r="B36" s="215"/>
      <c r="D36" s="14"/>
      <c r="E36" s="202"/>
      <c r="F36" s="203"/>
      <c r="G36" s="201"/>
      <c r="I36" s="205"/>
      <c r="J36" s="206"/>
      <c r="K36" s="206"/>
      <c r="L36" s="206"/>
      <c r="M36" s="207"/>
      <c r="N36" s="208"/>
      <c r="O36" s="11"/>
      <c r="P36" s="208"/>
      <c r="Q36" s="208"/>
      <c r="R36" s="192"/>
    </row>
    <row r="37" spans="2:18" x14ac:dyDescent="0.25">
      <c r="B37" s="215"/>
      <c r="D37" s="14"/>
      <c r="E37" s="202"/>
      <c r="F37" s="203"/>
      <c r="G37" s="201"/>
      <c r="I37" s="217"/>
      <c r="J37" s="218"/>
      <c r="K37" s="206"/>
      <c r="L37" s="206"/>
      <c r="M37" s="207"/>
      <c r="N37" s="208"/>
      <c r="O37" s="11"/>
      <c r="P37" s="208"/>
      <c r="Q37" s="208"/>
      <c r="R37" s="192"/>
    </row>
    <row r="38" spans="2:18" ht="15.75" thickBot="1" x14ac:dyDescent="0.3">
      <c r="B38" s="215"/>
      <c r="D38" s="14"/>
      <c r="E38" s="219" t="s">
        <v>23</v>
      </c>
      <c r="F38" s="48">
        <f>SUM(F13:F37)</f>
        <v>18147</v>
      </c>
      <c r="G38" s="139">
        <f>SUM(G13:G37)</f>
        <v>19335</v>
      </c>
      <c r="I38" s="219" t="s">
        <v>23</v>
      </c>
      <c r="J38" s="48">
        <f t="shared" ref="J38:L38" si="0">SUM(J13:J37)</f>
        <v>665865</v>
      </c>
      <c r="K38" s="48">
        <f t="shared" si="0"/>
        <v>691893</v>
      </c>
      <c r="L38" s="48">
        <f t="shared" si="0"/>
        <v>881851</v>
      </c>
      <c r="M38" s="49" t="s">
        <v>24</v>
      </c>
      <c r="N38" s="9"/>
      <c r="O38" s="11"/>
      <c r="P38" s="9"/>
      <c r="Q38" s="9"/>
      <c r="R38" s="192"/>
    </row>
    <row r="39" spans="2:18" x14ac:dyDescent="0.25">
      <c r="B39" s="215"/>
      <c r="D39" s="14"/>
      <c r="H39" s="9"/>
      <c r="I39" s="9"/>
      <c r="J39" s="9"/>
      <c r="K39" s="9"/>
      <c r="L39" s="9"/>
      <c r="M39" s="9"/>
      <c r="N39" s="9"/>
      <c r="O39" s="9"/>
      <c r="P39" s="9"/>
      <c r="Q39" s="9"/>
      <c r="R39" s="192"/>
    </row>
    <row r="40" spans="2:18" ht="15.75" thickBot="1" x14ac:dyDescent="0.3">
      <c r="B40" s="220"/>
      <c r="C40" s="221"/>
      <c r="D40" s="221"/>
      <c r="E40" s="221"/>
      <c r="F40" s="221"/>
      <c r="G40" s="221"/>
      <c r="H40" s="221"/>
      <c r="I40" s="221"/>
      <c r="J40" s="221"/>
      <c r="K40" s="221"/>
      <c r="L40" s="221"/>
      <c r="M40" s="221"/>
      <c r="N40" s="221"/>
      <c r="O40" s="221"/>
      <c r="P40" s="221"/>
      <c r="Q40" s="221"/>
      <c r="R40" s="222"/>
    </row>
    <row r="41" spans="2:18" ht="15.75" thickTop="1" x14ac:dyDescent="0.25"/>
    <row r="42" spans="2:18" ht="15.75" thickBot="1" x14ac:dyDescent="0.3"/>
    <row r="43" spans="2:18" ht="15.75" thickTop="1" x14ac:dyDescent="0.25">
      <c r="B43" s="180" t="s">
        <v>102</v>
      </c>
      <c r="C43" s="181"/>
      <c r="D43" s="181"/>
      <c r="E43" s="181"/>
      <c r="F43" s="181"/>
      <c r="G43" s="181"/>
      <c r="H43" s="181"/>
      <c r="I43" s="181"/>
      <c r="J43" s="181"/>
      <c r="K43" s="181"/>
      <c r="L43" s="181"/>
      <c r="M43" s="181"/>
      <c r="N43" s="181"/>
      <c r="O43" s="181"/>
      <c r="P43" s="181"/>
      <c r="Q43" s="181"/>
      <c r="R43" s="182"/>
    </row>
    <row r="44" spans="2:18" x14ac:dyDescent="0.25">
      <c r="B44" s="183"/>
      <c r="R44" s="184"/>
    </row>
    <row r="45" spans="2:18" x14ac:dyDescent="0.25">
      <c r="B45" s="183" t="s">
        <v>11</v>
      </c>
      <c r="C45" t="s">
        <v>87</v>
      </c>
      <c r="R45" s="184"/>
    </row>
    <row r="46" spans="2:18" x14ac:dyDescent="0.25">
      <c r="B46" s="183"/>
      <c r="R46" s="184"/>
    </row>
    <row r="47" spans="2:18" x14ac:dyDescent="0.25">
      <c r="B47" s="183"/>
      <c r="E47" t="s">
        <v>96</v>
      </c>
      <c r="I47" t="s">
        <v>97</v>
      </c>
      <c r="O47" t="s">
        <v>83</v>
      </c>
      <c r="R47" s="184"/>
    </row>
    <row r="48" spans="2:18" ht="15.75" thickBot="1" x14ac:dyDescent="0.3">
      <c r="B48" s="183"/>
      <c r="R48" s="184"/>
    </row>
    <row r="49" spans="2:18" x14ac:dyDescent="0.25">
      <c r="B49" s="183" t="s">
        <v>65</v>
      </c>
      <c r="C49" s="185" t="s">
        <v>26</v>
      </c>
      <c r="D49" s="14"/>
      <c r="E49" s="15" t="s">
        <v>26</v>
      </c>
      <c r="F49" s="186" t="str">
        <f>IF(one.refer,variable,study.area&amp;" "&amp;variable)</f>
        <v>Population</v>
      </c>
      <c r="G49" s="131"/>
      <c r="I49" s="15" t="str">
        <f>refer.label</f>
        <v>County</v>
      </c>
      <c r="J49" s="186" t="str">
        <f>IF(one.refer,variable,study.area&amp;" "&amp;variable)</f>
        <v>Population</v>
      </c>
      <c r="K49" s="17"/>
      <c r="L49" s="18"/>
      <c r="M49" s="19" t="s">
        <v>53</v>
      </c>
      <c r="N49" s="11"/>
      <c r="O49" s="15" t="s">
        <v>132</v>
      </c>
      <c r="P49" s="20" t="s">
        <v>132</v>
      </c>
      <c r="Q49" s="187"/>
      <c r="R49" s="184"/>
    </row>
    <row r="50" spans="2:18" x14ac:dyDescent="0.25">
      <c r="B50" s="188" t="s">
        <v>64</v>
      </c>
      <c r="C50" s="185" t="s">
        <v>63</v>
      </c>
      <c r="D50" s="14"/>
      <c r="E50" s="25"/>
      <c r="F50" s="10">
        <v>2000</v>
      </c>
      <c r="G50" s="132">
        <v>2010</v>
      </c>
      <c r="I50" s="22"/>
      <c r="J50" s="10">
        <f>base.year</f>
        <v>2000</v>
      </c>
      <c r="K50" s="23">
        <f>launch.year</f>
        <v>2010</v>
      </c>
      <c r="L50" s="23">
        <f>target.year</f>
        <v>2040</v>
      </c>
      <c r="M50" s="24" t="str">
        <f>TEXT(launch.year,0)&amp;"-"&amp;TEXT(target.year,0)</f>
        <v>2010-2040</v>
      </c>
      <c r="N50" s="189"/>
      <c r="O50" s="25"/>
      <c r="P50" s="26" t="s">
        <v>132</v>
      </c>
      <c r="Q50" s="190" t="s">
        <v>132</v>
      </c>
      <c r="R50" s="184"/>
    </row>
    <row r="51" spans="2:18" x14ac:dyDescent="0.25">
      <c r="B51" s="188" t="s">
        <v>94</v>
      </c>
      <c r="C51" s="185" t="s">
        <v>26</v>
      </c>
      <c r="D51" s="14"/>
      <c r="E51" s="29" t="s">
        <v>0</v>
      </c>
      <c r="F51" s="33" t="s">
        <v>1</v>
      </c>
      <c r="G51" s="191" t="s">
        <v>2</v>
      </c>
      <c r="I51" s="29" t="s">
        <v>0</v>
      </c>
      <c r="J51" s="30" t="s">
        <v>1</v>
      </c>
      <c r="K51" s="31" t="s">
        <v>2</v>
      </c>
      <c r="L51" s="31" t="s">
        <v>3</v>
      </c>
      <c r="M51" s="32" t="s">
        <v>4</v>
      </c>
      <c r="N51" s="12"/>
      <c r="O51" s="29" t="s">
        <v>0</v>
      </c>
      <c r="P51" s="33" t="s">
        <v>1</v>
      </c>
      <c r="Q51" s="191" t="s">
        <v>2</v>
      </c>
      <c r="R51" s="192"/>
    </row>
    <row r="52" spans="2:18" x14ac:dyDescent="0.25">
      <c r="B52" s="183" t="s">
        <v>95</v>
      </c>
      <c r="C52" s="185" t="s">
        <v>54</v>
      </c>
      <c r="D52" s="14"/>
      <c r="E52" s="223" t="s">
        <v>27</v>
      </c>
      <c r="F52" s="194">
        <v>1559</v>
      </c>
      <c r="G52" s="195">
        <v>1665</v>
      </c>
      <c r="I52" s="224" t="s">
        <v>20</v>
      </c>
      <c r="J52" s="225">
        <v>18093</v>
      </c>
      <c r="K52" s="194">
        <v>19237</v>
      </c>
      <c r="L52" s="194">
        <v>24501</v>
      </c>
      <c r="M52" s="195"/>
      <c r="N52" s="199"/>
      <c r="O52" s="25" t="s">
        <v>132</v>
      </c>
      <c r="P52" s="200"/>
      <c r="Q52" s="201"/>
      <c r="R52" s="192"/>
    </row>
    <row r="53" spans="2:18" ht="15.75" thickBot="1" x14ac:dyDescent="0.3">
      <c r="B53" s="183" t="s">
        <v>7</v>
      </c>
      <c r="C53" s="185" t="s">
        <v>13</v>
      </c>
      <c r="D53" s="14"/>
      <c r="E53" s="226" t="s">
        <v>28</v>
      </c>
      <c r="F53" s="203">
        <v>1061</v>
      </c>
      <c r="G53" s="204">
        <v>1046</v>
      </c>
      <c r="I53" s="205"/>
      <c r="J53" s="227"/>
      <c r="K53" s="203"/>
      <c r="L53" s="203"/>
      <c r="M53" s="204"/>
      <c r="N53" s="208"/>
      <c r="O53" s="209" t="s">
        <v>132</v>
      </c>
      <c r="P53" s="210"/>
      <c r="Q53" s="211"/>
      <c r="R53" s="192"/>
    </row>
    <row r="54" spans="2:18" x14ac:dyDescent="0.25">
      <c r="B54" s="183" t="s">
        <v>8</v>
      </c>
      <c r="C54" s="185">
        <v>2000</v>
      </c>
      <c r="D54" s="14"/>
      <c r="E54" s="226" t="s">
        <v>29</v>
      </c>
      <c r="F54" s="203">
        <v>1221</v>
      </c>
      <c r="G54" s="204">
        <v>1232</v>
      </c>
      <c r="I54" s="205"/>
      <c r="J54" s="227"/>
      <c r="K54" s="203"/>
      <c r="L54" s="203"/>
      <c r="M54" s="204"/>
      <c r="N54" s="208"/>
      <c r="O54" s="11"/>
      <c r="P54" s="208"/>
      <c r="Q54" s="208"/>
      <c r="R54" s="192"/>
    </row>
    <row r="55" spans="2:18" x14ac:dyDescent="0.25">
      <c r="B55" s="212" t="s">
        <v>9</v>
      </c>
      <c r="C55" s="185">
        <v>2010</v>
      </c>
      <c r="D55" s="14"/>
      <c r="E55" s="226" t="s">
        <v>30</v>
      </c>
      <c r="F55" s="203">
        <v>1353</v>
      </c>
      <c r="G55" s="204">
        <v>1418</v>
      </c>
      <c r="I55" s="205"/>
      <c r="J55" s="228"/>
      <c r="K55" s="206"/>
      <c r="L55" s="206"/>
      <c r="M55" s="207"/>
      <c r="N55" s="208"/>
      <c r="O55" s="11"/>
      <c r="P55" s="208"/>
      <c r="Q55" s="208"/>
      <c r="R55" s="192"/>
    </row>
    <row r="56" spans="2:18" x14ac:dyDescent="0.25">
      <c r="B56" s="188" t="s">
        <v>10</v>
      </c>
      <c r="C56" s="185">
        <v>2040</v>
      </c>
      <c r="D56" s="14"/>
      <c r="E56" s="226" t="s">
        <v>31</v>
      </c>
      <c r="F56" s="203">
        <v>1876</v>
      </c>
      <c r="G56" s="204">
        <v>2001</v>
      </c>
      <c r="I56" s="205"/>
      <c r="J56" s="228"/>
      <c r="K56" s="206"/>
      <c r="L56" s="206"/>
      <c r="M56" s="207"/>
      <c r="N56" s="208"/>
      <c r="O56" s="11"/>
      <c r="P56" s="9"/>
      <c r="Q56" s="9"/>
      <c r="R56" s="192"/>
    </row>
    <row r="57" spans="2:18" x14ac:dyDescent="0.25">
      <c r="B57" s="188" t="s">
        <v>79</v>
      </c>
      <c r="C57" s="213"/>
      <c r="D57" s="14"/>
      <c r="E57" s="226" t="s">
        <v>32</v>
      </c>
      <c r="F57" s="203">
        <v>1269</v>
      </c>
      <c r="G57" s="204">
        <v>1738</v>
      </c>
      <c r="I57" s="205"/>
      <c r="J57" s="228"/>
      <c r="K57" s="206"/>
      <c r="L57" s="206"/>
      <c r="M57" s="207"/>
      <c r="N57" s="208"/>
      <c r="O57" s="11"/>
      <c r="P57" s="11"/>
      <c r="Q57" s="11"/>
      <c r="R57" s="214"/>
    </row>
    <row r="58" spans="2:18" x14ac:dyDescent="0.25">
      <c r="B58" s="215"/>
      <c r="D58" s="14"/>
      <c r="E58" s="226" t="s">
        <v>33</v>
      </c>
      <c r="F58" s="203">
        <v>1936</v>
      </c>
      <c r="G58" s="204">
        <v>2056</v>
      </c>
      <c r="I58" s="205"/>
      <c r="J58" s="228"/>
      <c r="K58" s="206"/>
      <c r="L58" s="206"/>
      <c r="M58" s="207"/>
      <c r="N58" s="208"/>
      <c r="O58" s="11"/>
      <c r="P58" s="208"/>
      <c r="Q58" s="208"/>
      <c r="R58" s="192"/>
    </row>
    <row r="59" spans="2:18" x14ac:dyDescent="0.25">
      <c r="B59" s="188"/>
      <c r="D59" s="14"/>
      <c r="E59" s="226" t="s">
        <v>34</v>
      </c>
      <c r="F59" s="203">
        <v>1469</v>
      </c>
      <c r="G59" s="204">
        <v>1532</v>
      </c>
      <c r="I59" s="205"/>
      <c r="J59" s="228"/>
      <c r="K59" s="206"/>
      <c r="L59" s="206"/>
      <c r="M59" s="207"/>
      <c r="N59" s="208"/>
      <c r="O59" s="11"/>
      <c r="P59" s="208"/>
      <c r="Q59" s="208"/>
      <c r="R59" s="192"/>
    </row>
    <row r="60" spans="2:18" x14ac:dyDescent="0.25">
      <c r="B60" s="188"/>
      <c r="C60" s="216"/>
      <c r="D60" s="14"/>
      <c r="E60" s="226" t="s">
        <v>36</v>
      </c>
      <c r="F60" s="203">
        <v>1187</v>
      </c>
      <c r="G60" s="204">
        <v>1151</v>
      </c>
      <c r="I60" s="205"/>
      <c r="J60" s="228"/>
      <c r="K60" s="206"/>
      <c r="L60" s="206"/>
      <c r="M60" s="207"/>
      <c r="N60" s="208"/>
      <c r="O60" s="11"/>
      <c r="P60" s="208"/>
      <c r="Q60" s="208"/>
      <c r="R60" s="192"/>
    </row>
    <row r="61" spans="2:18" x14ac:dyDescent="0.25">
      <c r="B61" s="215"/>
      <c r="D61" s="14"/>
      <c r="E61" s="226" t="s">
        <v>35</v>
      </c>
      <c r="F61" s="203">
        <v>1424</v>
      </c>
      <c r="G61" s="204">
        <v>1750</v>
      </c>
      <c r="I61" s="205"/>
      <c r="J61" s="228"/>
      <c r="K61" s="206"/>
      <c r="L61" s="206"/>
      <c r="M61" s="207"/>
      <c r="N61" s="208"/>
      <c r="O61" s="11"/>
      <c r="P61" s="208"/>
      <c r="Q61" s="208"/>
      <c r="R61" s="192"/>
    </row>
    <row r="62" spans="2:18" x14ac:dyDescent="0.25">
      <c r="B62" s="215"/>
      <c r="D62" s="14"/>
      <c r="E62" s="226" t="s">
        <v>37</v>
      </c>
      <c r="F62" s="203">
        <v>1091</v>
      </c>
      <c r="G62" s="204">
        <v>871</v>
      </c>
      <c r="I62" s="205"/>
      <c r="J62" s="228"/>
      <c r="K62" s="206"/>
      <c r="L62" s="206"/>
      <c r="M62" s="207"/>
      <c r="N62" s="208"/>
      <c r="O62" s="11"/>
      <c r="P62" s="208"/>
      <c r="Q62" s="208"/>
      <c r="R62" s="192"/>
    </row>
    <row r="63" spans="2:18" x14ac:dyDescent="0.25">
      <c r="B63" s="215"/>
      <c r="D63" s="14"/>
      <c r="E63" s="226" t="s">
        <v>38</v>
      </c>
      <c r="F63" s="203">
        <v>1504</v>
      </c>
      <c r="G63" s="204">
        <v>1481</v>
      </c>
      <c r="I63" s="205"/>
      <c r="J63" s="228"/>
      <c r="K63" s="206"/>
      <c r="L63" s="206"/>
      <c r="M63" s="207"/>
      <c r="N63" s="208"/>
      <c r="O63" s="11"/>
      <c r="P63" s="208"/>
      <c r="Q63" s="208"/>
      <c r="R63" s="192"/>
    </row>
    <row r="64" spans="2:18" x14ac:dyDescent="0.25">
      <c r="B64" s="215"/>
      <c r="D64" s="14"/>
      <c r="E64" s="226" t="s">
        <v>39</v>
      </c>
      <c r="F64" s="203">
        <v>1143</v>
      </c>
      <c r="G64" s="204">
        <v>1296</v>
      </c>
      <c r="I64" s="205"/>
      <c r="J64" s="228"/>
      <c r="K64" s="206"/>
      <c r="L64" s="206"/>
      <c r="M64" s="207"/>
      <c r="N64" s="208"/>
      <c r="O64" s="11"/>
      <c r="P64" s="208"/>
      <c r="Q64" s="208"/>
      <c r="R64" s="192"/>
    </row>
    <row r="65" spans="2:18" x14ac:dyDescent="0.25">
      <c r="B65" s="215"/>
      <c r="D65" s="14"/>
      <c r="E65" s="224"/>
      <c r="F65" s="203"/>
      <c r="G65" s="204"/>
      <c r="I65" s="205"/>
      <c r="J65" s="228"/>
      <c r="K65" s="206"/>
      <c r="L65" s="206"/>
      <c r="M65" s="207"/>
      <c r="N65" s="208"/>
      <c r="O65" s="11"/>
      <c r="P65" s="208"/>
      <c r="Q65" s="208"/>
      <c r="R65" s="192"/>
    </row>
    <row r="66" spans="2:18" x14ac:dyDescent="0.25">
      <c r="B66" s="215"/>
      <c r="D66" s="14"/>
      <c r="E66" s="224"/>
      <c r="F66" s="203"/>
      <c r="G66" s="204"/>
      <c r="I66" s="205"/>
      <c r="J66" s="228"/>
      <c r="K66" s="206"/>
      <c r="L66" s="206"/>
      <c r="M66" s="207"/>
      <c r="N66" s="208"/>
      <c r="O66" s="11"/>
      <c r="P66" s="208"/>
      <c r="Q66" s="208"/>
      <c r="R66" s="192"/>
    </row>
    <row r="67" spans="2:18" x14ac:dyDescent="0.25">
      <c r="B67" s="215"/>
      <c r="D67" s="14"/>
      <c r="E67" s="224"/>
      <c r="F67" s="203"/>
      <c r="G67" s="204"/>
      <c r="I67" s="205"/>
      <c r="J67" s="228"/>
      <c r="K67" s="206"/>
      <c r="L67" s="206"/>
      <c r="M67" s="207"/>
      <c r="N67" s="208"/>
      <c r="O67" s="11"/>
      <c r="P67" s="208"/>
      <c r="Q67" s="208"/>
      <c r="R67" s="192"/>
    </row>
    <row r="68" spans="2:18" x14ac:dyDescent="0.25">
      <c r="B68" s="215"/>
      <c r="D68" s="14"/>
      <c r="E68" s="224"/>
      <c r="F68" s="203"/>
      <c r="G68" s="204"/>
      <c r="I68" s="205"/>
      <c r="J68" s="228"/>
      <c r="K68" s="206"/>
      <c r="L68" s="206"/>
      <c r="M68" s="207"/>
      <c r="N68" s="208"/>
      <c r="O68" s="11"/>
      <c r="P68" s="208"/>
      <c r="Q68" s="208"/>
      <c r="R68" s="192"/>
    </row>
    <row r="69" spans="2:18" x14ac:dyDescent="0.25">
      <c r="B69" s="215"/>
      <c r="D69" s="14"/>
      <c r="E69" s="224"/>
      <c r="F69" s="203"/>
      <c r="G69" s="204"/>
      <c r="I69" s="205"/>
      <c r="J69" s="228"/>
      <c r="K69" s="206"/>
      <c r="L69" s="206"/>
      <c r="M69" s="207"/>
      <c r="N69" s="208"/>
      <c r="O69" s="11"/>
      <c r="P69" s="208"/>
      <c r="Q69" s="208"/>
      <c r="R69" s="192"/>
    </row>
    <row r="70" spans="2:18" x14ac:dyDescent="0.25">
      <c r="B70" s="215"/>
      <c r="D70" s="14"/>
      <c r="E70" s="224"/>
      <c r="F70" s="203"/>
      <c r="G70" s="204"/>
      <c r="I70" s="205"/>
      <c r="J70" s="228"/>
      <c r="K70" s="206"/>
      <c r="L70" s="206"/>
      <c r="M70" s="207"/>
      <c r="N70" s="208"/>
      <c r="O70" s="11"/>
      <c r="P70" s="208"/>
      <c r="Q70" s="208"/>
      <c r="R70" s="192"/>
    </row>
    <row r="71" spans="2:18" x14ac:dyDescent="0.25">
      <c r="B71" s="215"/>
      <c r="D71" s="14"/>
      <c r="E71" s="224"/>
      <c r="F71" s="203"/>
      <c r="G71" s="204"/>
      <c r="I71" s="205"/>
      <c r="J71" s="228"/>
      <c r="K71" s="206"/>
      <c r="L71" s="206"/>
      <c r="M71" s="207"/>
      <c r="N71" s="208"/>
      <c r="O71" s="11"/>
      <c r="P71" s="208"/>
      <c r="Q71" s="208"/>
      <c r="R71" s="192"/>
    </row>
    <row r="72" spans="2:18" x14ac:dyDescent="0.25">
      <c r="B72" s="215"/>
      <c r="D72" s="14"/>
      <c r="E72" s="224"/>
      <c r="F72" s="203"/>
      <c r="G72" s="204"/>
      <c r="I72" s="205"/>
      <c r="J72" s="228"/>
      <c r="K72" s="206"/>
      <c r="L72" s="206"/>
      <c r="M72" s="207"/>
      <c r="N72" s="208"/>
      <c r="O72" s="11"/>
      <c r="P72" s="208"/>
      <c r="Q72" s="208"/>
      <c r="R72" s="192"/>
    </row>
    <row r="73" spans="2:18" x14ac:dyDescent="0.25">
      <c r="B73" s="215"/>
      <c r="D73" s="14"/>
      <c r="E73" s="224"/>
      <c r="F73" s="203"/>
      <c r="G73" s="204"/>
      <c r="I73" s="205"/>
      <c r="J73" s="228"/>
      <c r="K73" s="206"/>
      <c r="L73" s="206"/>
      <c r="M73" s="207"/>
      <c r="N73" s="208"/>
      <c r="O73" s="11"/>
      <c r="P73" s="208"/>
      <c r="Q73" s="208"/>
      <c r="R73" s="192"/>
    </row>
    <row r="74" spans="2:18" x14ac:dyDescent="0.25">
      <c r="B74" s="215"/>
      <c r="D74" s="14"/>
      <c r="E74" s="224"/>
      <c r="F74" s="203"/>
      <c r="G74" s="204"/>
      <c r="I74" s="205"/>
      <c r="J74" s="228"/>
      <c r="K74" s="206"/>
      <c r="L74" s="206"/>
      <c r="M74" s="207"/>
      <c r="N74" s="208"/>
      <c r="O74" s="11"/>
      <c r="P74" s="208"/>
      <c r="Q74" s="208"/>
      <c r="R74" s="192"/>
    </row>
    <row r="75" spans="2:18" x14ac:dyDescent="0.25">
      <c r="B75" s="215"/>
      <c r="D75" s="14"/>
      <c r="E75" s="224"/>
      <c r="F75" s="203"/>
      <c r="G75" s="204"/>
      <c r="I75" s="205"/>
      <c r="J75" s="228"/>
      <c r="K75" s="206"/>
      <c r="L75" s="206"/>
      <c r="M75" s="207"/>
      <c r="N75" s="208"/>
      <c r="O75" s="11"/>
      <c r="P75" s="208"/>
      <c r="Q75" s="208"/>
      <c r="R75" s="192"/>
    </row>
    <row r="76" spans="2:18" x14ac:dyDescent="0.25">
      <c r="B76" s="215"/>
      <c r="D76" s="14"/>
      <c r="E76" s="224"/>
      <c r="F76" s="203"/>
      <c r="G76" s="204"/>
      <c r="I76" s="205"/>
      <c r="J76" s="228"/>
      <c r="K76" s="206"/>
      <c r="L76" s="206"/>
      <c r="M76" s="207"/>
      <c r="N76" s="208"/>
      <c r="O76" s="11"/>
      <c r="P76" s="208"/>
      <c r="Q76" s="208"/>
      <c r="R76" s="192"/>
    </row>
    <row r="77" spans="2:18" ht="15.75" thickBot="1" x14ac:dyDescent="0.3">
      <c r="B77" s="215"/>
      <c r="D77" s="14"/>
      <c r="E77" s="219" t="s">
        <v>23</v>
      </c>
      <c r="F77" s="48">
        <f>SUM(F52:F76)</f>
        <v>18093</v>
      </c>
      <c r="G77" s="139">
        <f>SUM(G52:G76)</f>
        <v>19237</v>
      </c>
      <c r="I77" s="219" t="s">
        <v>23</v>
      </c>
      <c r="J77" s="48">
        <f t="shared" ref="J77:L77" si="1">SUM(J52:J76)</f>
        <v>18093</v>
      </c>
      <c r="K77" s="48">
        <f t="shared" si="1"/>
        <v>19237</v>
      </c>
      <c r="L77" s="48">
        <f t="shared" si="1"/>
        <v>24501</v>
      </c>
      <c r="M77" s="49" t="s">
        <v>24</v>
      </c>
      <c r="N77" s="9"/>
      <c r="O77" s="11"/>
      <c r="P77" s="9"/>
      <c r="Q77" s="9"/>
      <c r="R77" s="192"/>
    </row>
    <row r="78" spans="2:18" x14ac:dyDescent="0.25">
      <c r="B78" s="215"/>
      <c r="D78" s="14"/>
      <c r="H78" s="9"/>
      <c r="I78" s="9"/>
      <c r="J78" s="9"/>
      <c r="K78" s="9"/>
      <c r="L78" s="9"/>
      <c r="M78" s="9"/>
      <c r="N78" s="9"/>
      <c r="O78" s="9"/>
      <c r="P78" s="9"/>
      <c r="Q78" s="9"/>
      <c r="R78" s="192"/>
    </row>
    <row r="79" spans="2:18" ht="15.75" thickBot="1" x14ac:dyDescent="0.3">
      <c r="B79" s="220"/>
      <c r="C79" s="221"/>
      <c r="D79" s="221"/>
      <c r="E79" s="221"/>
      <c r="F79" s="221"/>
      <c r="G79" s="221"/>
      <c r="H79" s="221"/>
      <c r="I79" s="221"/>
      <c r="J79" s="221"/>
      <c r="K79" s="221"/>
      <c r="L79" s="221"/>
      <c r="M79" s="221"/>
      <c r="N79" s="221"/>
      <c r="O79" s="221"/>
      <c r="P79" s="221"/>
      <c r="Q79" s="221"/>
      <c r="R79" s="222"/>
    </row>
    <row r="80" spans="2:18" ht="15.75" thickTop="1" x14ac:dyDescent="0.25"/>
    <row r="81" spans="2:18" ht="15.75" thickBot="1" x14ac:dyDescent="0.3"/>
    <row r="82" spans="2:18" ht="15.75" thickTop="1" x14ac:dyDescent="0.25">
      <c r="B82" s="180" t="s">
        <v>104</v>
      </c>
      <c r="C82" s="181"/>
      <c r="D82" s="181"/>
      <c r="E82" s="181"/>
      <c r="F82" s="181"/>
      <c r="G82" s="181"/>
      <c r="H82" s="181"/>
      <c r="I82" s="181"/>
      <c r="J82" s="181"/>
      <c r="K82" s="181"/>
      <c r="L82" s="181"/>
      <c r="M82" s="181"/>
      <c r="N82" s="181"/>
      <c r="O82" s="181"/>
      <c r="P82" s="181"/>
      <c r="Q82" s="181"/>
      <c r="R82" s="182"/>
    </row>
    <row r="83" spans="2:18" x14ac:dyDescent="0.25">
      <c r="B83" s="183"/>
      <c r="R83" s="184"/>
    </row>
    <row r="84" spans="2:18" x14ac:dyDescent="0.25">
      <c r="B84" s="183" t="s">
        <v>11</v>
      </c>
      <c r="C84" t="s">
        <v>88</v>
      </c>
      <c r="R84" s="184"/>
    </row>
    <row r="85" spans="2:18" x14ac:dyDescent="0.25">
      <c r="B85" s="183"/>
      <c r="R85" s="184"/>
    </row>
    <row r="86" spans="2:18" x14ac:dyDescent="0.25">
      <c r="B86" s="183"/>
      <c r="E86" t="s">
        <v>96</v>
      </c>
      <c r="I86" t="s">
        <v>97</v>
      </c>
      <c r="O86" t="s">
        <v>83</v>
      </c>
      <c r="R86" s="184"/>
    </row>
    <row r="87" spans="2:18" ht="15.75" thickBot="1" x14ac:dyDescent="0.3">
      <c r="B87" s="183"/>
      <c r="R87" s="184"/>
    </row>
    <row r="88" spans="2:18" x14ac:dyDescent="0.25">
      <c r="B88" s="183" t="s">
        <v>65</v>
      </c>
      <c r="C88" s="185" t="s">
        <v>20</v>
      </c>
      <c r="D88" s="14"/>
      <c r="E88" s="15" t="s">
        <v>70</v>
      </c>
      <c r="F88" s="186" t="s">
        <v>89</v>
      </c>
      <c r="G88" s="131"/>
      <c r="I88" s="15" t="s">
        <v>70</v>
      </c>
      <c r="J88" s="16" t="s">
        <v>98</v>
      </c>
      <c r="K88" s="17"/>
      <c r="L88" s="18"/>
      <c r="M88" s="19" t="s">
        <v>53</v>
      </c>
      <c r="N88" s="11"/>
      <c r="O88" s="15" t="s">
        <v>132</v>
      </c>
      <c r="P88" s="20" t="s">
        <v>132</v>
      </c>
      <c r="Q88" s="187"/>
      <c r="R88" s="184"/>
    </row>
    <row r="89" spans="2:18" x14ac:dyDescent="0.25">
      <c r="B89" s="188" t="s">
        <v>64</v>
      </c>
      <c r="C89" s="185" t="s">
        <v>12</v>
      </c>
      <c r="D89" s="14"/>
      <c r="E89" s="25"/>
      <c r="F89" s="10">
        <v>2009</v>
      </c>
      <c r="G89" s="132">
        <v>2013</v>
      </c>
      <c r="I89" s="22"/>
      <c r="J89" s="10">
        <v>2009</v>
      </c>
      <c r="K89" s="23">
        <v>2013</v>
      </c>
      <c r="L89" s="23">
        <v>2022</v>
      </c>
      <c r="M89" s="24" t="s">
        <v>90</v>
      </c>
      <c r="N89" s="189"/>
      <c r="O89" s="25"/>
      <c r="P89" s="26" t="s">
        <v>132</v>
      </c>
      <c r="Q89" s="190" t="s">
        <v>132</v>
      </c>
      <c r="R89" s="184"/>
    </row>
    <row r="90" spans="2:18" x14ac:dyDescent="0.25">
      <c r="B90" s="188" t="s">
        <v>94</v>
      </c>
      <c r="C90" s="185" t="s">
        <v>70</v>
      </c>
      <c r="D90" s="14"/>
      <c r="E90" s="29" t="s">
        <v>0</v>
      </c>
      <c r="F90" s="33" t="s">
        <v>1</v>
      </c>
      <c r="G90" s="191" t="s">
        <v>2</v>
      </c>
      <c r="I90" s="29" t="s">
        <v>0</v>
      </c>
      <c r="J90" s="30" t="s">
        <v>1</v>
      </c>
      <c r="K90" s="31" t="s">
        <v>2</v>
      </c>
      <c r="L90" s="31" t="s">
        <v>3</v>
      </c>
      <c r="M90" s="32" t="s">
        <v>4</v>
      </c>
      <c r="N90" s="12"/>
      <c r="O90" s="29" t="s">
        <v>0</v>
      </c>
      <c r="P90" s="33" t="s">
        <v>1</v>
      </c>
      <c r="Q90" s="191" t="s">
        <v>2</v>
      </c>
      <c r="R90" s="192"/>
    </row>
    <row r="91" spans="2:18" x14ac:dyDescent="0.25">
      <c r="B91" s="183" t="s">
        <v>95</v>
      </c>
      <c r="C91" s="185" t="s">
        <v>70</v>
      </c>
      <c r="D91" s="14"/>
      <c r="E91" s="229" t="s">
        <v>73</v>
      </c>
      <c r="F91" s="194">
        <v>1331.060192936299</v>
      </c>
      <c r="G91" s="195">
        <v>1317.8738767144885</v>
      </c>
      <c r="I91" s="230">
        <v>54</v>
      </c>
      <c r="J91" s="197">
        <v>18012</v>
      </c>
      <c r="K91" s="194">
        <v>18941</v>
      </c>
      <c r="L91" s="194">
        <v>21670</v>
      </c>
      <c r="M91" s="231">
        <v>8.7999999999999995E-2</v>
      </c>
      <c r="N91" s="199"/>
      <c r="O91" s="25" t="s">
        <v>132</v>
      </c>
      <c r="P91" s="200"/>
      <c r="Q91" s="201"/>
      <c r="R91" s="192"/>
    </row>
    <row r="92" spans="2:18" ht="15.75" thickBot="1" x14ac:dyDescent="0.3">
      <c r="B92" s="183" t="s">
        <v>7</v>
      </c>
      <c r="C92" s="185" t="s">
        <v>71</v>
      </c>
      <c r="D92" s="14"/>
      <c r="E92" s="232" t="s">
        <v>74</v>
      </c>
      <c r="F92" s="203">
        <v>1551.6466555050624</v>
      </c>
      <c r="G92" s="204">
        <v>1657.9703610279048</v>
      </c>
      <c r="I92" s="230">
        <v>61</v>
      </c>
      <c r="J92" s="203">
        <v>21135</v>
      </c>
      <c r="K92" s="203">
        <v>22254</v>
      </c>
      <c r="L92" s="203">
        <v>40750</v>
      </c>
      <c r="M92" s="233">
        <v>7.9000000000000001E-2</v>
      </c>
      <c r="N92" s="208"/>
      <c r="O92" s="209" t="s">
        <v>132</v>
      </c>
      <c r="P92" s="210"/>
      <c r="Q92" s="211"/>
      <c r="R92" s="192"/>
    </row>
    <row r="93" spans="2:18" x14ac:dyDescent="0.25">
      <c r="B93" s="183" t="s">
        <v>8</v>
      </c>
      <c r="C93" s="185">
        <v>2009</v>
      </c>
      <c r="D93" s="14"/>
      <c r="E93" s="232" t="s">
        <v>75</v>
      </c>
      <c r="F93" s="203">
        <v>2874.2227537271783</v>
      </c>
      <c r="G93" s="204">
        <v>2578.7429449787164</v>
      </c>
      <c r="I93" s="230">
        <v>62</v>
      </c>
      <c r="J93" s="203">
        <v>39988</v>
      </c>
      <c r="K93" s="203">
        <v>38691</v>
      </c>
      <c r="L93" s="203">
        <v>45440</v>
      </c>
      <c r="M93" s="233">
        <v>5.2999999999999999E-2</v>
      </c>
      <c r="N93" s="208"/>
      <c r="O93" s="11"/>
      <c r="P93" s="208"/>
      <c r="Q93" s="208"/>
      <c r="R93" s="192"/>
    </row>
    <row r="94" spans="2:18" x14ac:dyDescent="0.25">
      <c r="B94" s="212" t="s">
        <v>9</v>
      </c>
      <c r="C94" s="185">
        <v>2013</v>
      </c>
      <c r="D94" s="14"/>
      <c r="E94" s="232" t="s">
        <v>76</v>
      </c>
      <c r="F94" s="203">
        <v>1395.1622418879056</v>
      </c>
      <c r="G94" s="204">
        <v>1641.5452467286773</v>
      </c>
      <c r="I94" s="230">
        <v>72</v>
      </c>
      <c r="J94" s="203">
        <v>22463</v>
      </c>
      <c r="K94" s="203">
        <v>24821</v>
      </c>
      <c r="L94" s="203">
        <v>21170</v>
      </c>
      <c r="M94" s="233">
        <v>9.4E-2</v>
      </c>
      <c r="N94" s="208"/>
      <c r="O94" s="11"/>
      <c r="P94" s="208"/>
      <c r="Q94" s="208"/>
      <c r="R94" s="192"/>
    </row>
    <row r="95" spans="2:18" x14ac:dyDescent="0.25">
      <c r="B95" s="188" t="s">
        <v>10</v>
      </c>
      <c r="C95" s="185">
        <v>2022</v>
      </c>
      <c r="D95" s="14"/>
      <c r="E95" s="232" t="s">
        <v>72</v>
      </c>
      <c r="F95" s="203">
        <v>4671.9081560000004</v>
      </c>
      <c r="G95" s="204">
        <v>5060.8675709999998</v>
      </c>
      <c r="I95" s="230" t="s">
        <v>72</v>
      </c>
      <c r="J95" s="203">
        <v>157930</v>
      </c>
      <c r="K95" s="203">
        <v>155487</v>
      </c>
      <c r="L95" s="203">
        <v>207310</v>
      </c>
      <c r="M95" s="233">
        <v>0.04</v>
      </c>
      <c r="N95" s="208"/>
      <c r="O95" s="11"/>
      <c r="P95" s="9"/>
      <c r="Q95" s="9"/>
      <c r="R95" s="192"/>
    </row>
    <row r="96" spans="2:18" x14ac:dyDescent="0.25">
      <c r="B96" s="188" t="s">
        <v>79</v>
      </c>
      <c r="C96" s="213"/>
      <c r="D96" s="14"/>
      <c r="E96" s="230"/>
      <c r="F96" s="203"/>
      <c r="G96" s="204"/>
      <c r="I96" s="230"/>
      <c r="J96" s="203"/>
      <c r="K96" s="203"/>
      <c r="L96" s="203"/>
      <c r="M96" s="233"/>
      <c r="N96" s="208"/>
      <c r="O96" s="11"/>
      <c r="P96" s="11"/>
      <c r="Q96" s="11"/>
      <c r="R96" s="214"/>
    </row>
    <row r="97" spans="2:18" x14ac:dyDescent="0.25">
      <c r="B97" s="215"/>
      <c r="D97" s="14"/>
      <c r="E97" s="230"/>
      <c r="F97" s="203"/>
      <c r="G97" s="204"/>
      <c r="I97" s="230"/>
      <c r="J97" s="203"/>
      <c r="K97" s="203"/>
      <c r="L97" s="203"/>
      <c r="M97" s="233"/>
      <c r="N97" s="208"/>
      <c r="O97" s="11"/>
      <c r="P97" s="208"/>
      <c r="Q97" s="208"/>
      <c r="R97" s="192"/>
    </row>
    <row r="98" spans="2:18" x14ac:dyDescent="0.25">
      <c r="B98" s="188"/>
      <c r="D98" s="14"/>
      <c r="E98" s="230"/>
      <c r="F98" s="203"/>
      <c r="G98" s="204"/>
      <c r="I98" s="230"/>
      <c r="J98" s="203"/>
      <c r="K98" s="203"/>
      <c r="L98" s="203"/>
      <c r="M98" s="233"/>
      <c r="N98" s="208"/>
      <c r="O98" s="11"/>
      <c r="P98" s="208"/>
      <c r="Q98" s="208"/>
      <c r="R98" s="192"/>
    </row>
    <row r="99" spans="2:18" x14ac:dyDescent="0.25">
      <c r="B99" s="188"/>
      <c r="C99" s="216"/>
      <c r="D99" s="14"/>
      <c r="E99" s="230"/>
      <c r="F99" s="203"/>
      <c r="G99" s="201"/>
      <c r="I99" s="230"/>
      <c r="J99" s="203"/>
      <c r="K99" s="203"/>
      <c r="L99" s="203"/>
      <c r="M99" s="233"/>
      <c r="N99" s="208"/>
      <c r="O99" s="11"/>
      <c r="P99" s="208"/>
      <c r="Q99" s="208"/>
      <c r="R99" s="192"/>
    </row>
    <row r="100" spans="2:18" x14ac:dyDescent="0.25">
      <c r="B100" s="215"/>
      <c r="D100" s="14"/>
      <c r="E100" s="230"/>
      <c r="F100" s="203"/>
      <c r="G100" s="201"/>
      <c r="I100" s="230"/>
      <c r="J100" s="203"/>
      <c r="K100" s="203"/>
      <c r="L100" s="203"/>
      <c r="M100" s="233"/>
      <c r="N100" s="208"/>
      <c r="O100" s="11"/>
      <c r="P100" s="208"/>
      <c r="Q100" s="208"/>
      <c r="R100" s="192"/>
    </row>
    <row r="101" spans="2:18" x14ac:dyDescent="0.25">
      <c r="B101" s="215"/>
      <c r="D101" s="14"/>
      <c r="E101" s="230"/>
      <c r="F101" s="203"/>
      <c r="G101" s="201"/>
      <c r="I101" s="230"/>
      <c r="J101" s="203"/>
      <c r="K101" s="203"/>
      <c r="L101" s="203"/>
      <c r="M101" s="233"/>
      <c r="N101" s="208"/>
      <c r="O101" s="11"/>
      <c r="P101" s="208"/>
      <c r="Q101" s="208"/>
      <c r="R101" s="192"/>
    </row>
    <row r="102" spans="2:18" x14ac:dyDescent="0.25">
      <c r="B102" s="215"/>
      <c r="D102" s="14"/>
      <c r="E102" s="230"/>
      <c r="F102" s="203"/>
      <c r="G102" s="201"/>
      <c r="I102" s="230"/>
      <c r="J102" s="203"/>
      <c r="K102" s="203"/>
      <c r="L102" s="203"/>
      <c r="M102" s="233"/>
      <c r="N102" s="208"/>
      <c r="O102" s="11"/>
      <c r="P102" s="208"/>
      <c r="Q102" s="208"/>
      <c r="R102" s="192"/>
    </row>
    <row r="103" spans="2:18" x14ac:dyDescent="0.25">
      <c r="B103" s="215"/>
      <c r="D103" s="14"/>
      <c r="E103" s="230"/>
      <c r="F103" s="203"/>
      <c r="G103" s="201"/>
      <c r="I103" s="230"/>
      <c r="J103" s="203"/>
      <c r="K103" s="203"/>
      <c r="L103" s="203"/>
      <c r="M103" s="233"/>
      <c r="N103" s="208"/>
      <c r="O103" s="11"/>
      <c r="P103" s="208"/>
      <c r="Q103" s="208"/>
      <c r="R103" s="192"/>
    </row>
    <row r="104" spans="2:18" x14ac:dyDescent="0.25">
      <c r="B104" s="215"/>
      <c r="D104" s="14"/>
      <c r="E104" s="230"/>
      <c r="F104" s="203"/>
      <c r="G104" s="201"/>
      <c r="I104" s="230"/>
      <c r="J104" s="203"/>
      <c r="K104" s="203"/>
      <c r="L104" s="203"/>
      <c r="M104" s="233"/>
      <c r="N104" s="208"/>
      <c r="O104" s="11"/>
      <c r="P104" s="208"/>
      <c r="Q104" s="208"/>
      <c r="R104" s="192"/>
    </row>
    <row r="105" spans="2:18" x14ac:dyDescent="0.25">
      <c r="B105" s="215"/>
      <c r="D105" s="14"/>
      <c r="E105" s="230"/>
      <c r="F105" s="203"/>
      <c r="G105" s="201"/>
      <c r="I105" s="230"/>
      <c r="J105" s="203"/>
      <c r="K105" s="203"/>
      <c r="L105" s="203"/>
      <c r="M105" s="233"/>
      <c r="N105" s="208"/>
      <c r="O105" s="11"/>
      <c r="P105" s="208"/>
      <c r="Q105" s="208"/>
      <c r="R105" s="192"/>
    </row>
    <row r="106" spans="2:18" x14ac:dyDescent="0.25">
      <c r="B106" s="215"/>
      <c r="D106" s="14"/>
      <c r="E106" s="230"/>
      <c r="F106" s="203"/>
      <c r="G106" s="201"/>
      <c r="I106" s="230"/>
      <c r="J106" s="203"/>
      <c r="K106" s="203"/>
      <c r="L106" s="203"/>
      <c r="M106" s="233"/>
      <c r="N106" s="208"/>
      <c r="O106" s="11"/>
      <c r="P106" s="208"/>
      <c r="Q106" s="208"/>
      <c r="R106" s="192"/>
    </row>
    <row r="107" spans="2:18" x14ac:dyDescent="0.25">
      <c r="B107" s="215"/>
      <c r="D107" s="14"/>
      <c r="E107" s="230"/>
      <c r="F107" s="203"/>
      <c r="G107" s="201"/>
      <c r="I107" s="230"/>
      <c r="J107" s="203"/>
      <c r="K107" s="203"/>
      <c r="L107" s="203"/>
      <c r="M107" s="233"/>
      <c r="N107" s="208"/>
      <c r="O107" s="11"/>
      <c r="P107" s="208"/>
      <c r="Q107" s="208"/>
      <c r="R107" s="192"/>
    </row>
    <row r="108" spans="2:18" x14ac:dyDescent="0.25">
      <c r="B108" s="215"/>
      <c r="D108" s="14"/>
      <c r="E108" s="230"/>
      <c r="F108" s="203"/>
      <c r="G108" s="201"/>
      <c r="I108" s="230"/>
      <c r="J108" s="203"/>
      <c r="K108" s="203"/>
      <c r="L108" s="203"/>
      <c r="M108" s="233"/>
      <c r="N108" s="208"/>
      <c r="O108" s="11"/>
      <c r="P108" s="208"/>
      <c r="Q108" s="208"/>
      <c r="R108" s="192"/>
    </row>
    <row r="109" spans="2:18" x14ac:dyDescent="0.25">
      <c r="B109" s="215"/>
      <c r="D109" s="14"/>
      <c r="E109" s="230"/>
      <c r="F109" s="203"/>
      <c r="G109" s="201"/>
      <c r="I109" s="230"/>
      <c r="J109" s="203"/>
      <c r="K109" s="203"/>
      <c r="L109" s="203"/>
      <c r="M109" s="233"/>
      <c r="N109" s="208"/>
      <c r="O109" s="11"/>
      <c r="P109" s="208"/>
      <c r="Q109" s="208"/>
      <c r="R109" s="192"/>
    </row>
    <row r="110" spans="2:18" x14ac:dyDescent="0.25">
      <c r="B110" s="215"/>
      <c r="D110" s="14"/>
      <c r="E110" s="230"/>
      <c r="F110" s="203"/>
      <c r="G110" s="201"/>
      <c r="I110" s="230"/>
      <c r="J110" s="203"/>
      <c r="K110" s="203"/>
      <c r="L110" s="203"/>
      <c r="M110" s="233"/>
      <c r="N110" s="208"/>
      <c r="O110" s="11"/>
      <c r="P110" s="208"/>
      <c r="Q110" s="208"/>
      <c r="R110" s="192"/>
    </row>
    <row r="111" spans="2:18" x14ac:dyDescent="0.25">
      <c r="B111" s="215"/>
      <c r="D111" s="14"/>
      <c r="E111" s="230"/>
      <c r="F111" s="203"/>
      <c r="G111" s="201"/>
      <c r="I111" s="230"/>
      <c r="J111" s="203"/>
      <c r="K111" s="203"/>
      <c r="L111" s="203"/>
      <c r="M111" s="233"/>
      <c r="N111" s="208"/>
      <c r="O111" s="11"/>
      <c r="P111" s="208"/>
      <c r="Q111" s="208"/>
      <c r="R111" s="192"/>
    </row>
    <row r="112" spans="2:18" x14ac:dyDescent="0.25">
      <c r="B112" s="215"/>
      <c r="D112" s="14"/>
      <c r="E112" s="230"/>
      <c r="F112" s="203"/>
      <c r="G112" s="201"/>
      <c r="I112" s="230"/>
      <c r="J112" s="203"/>
      <c r="K112" s="203"/>
      <c r="L112" s="203"/>
      <c r="M112" s="233"/>
      <c r="N112" s="208"/>
      <c r="O112" s="11"/>
      <c r="P112" s="208"/>
      <c r="Q112" s="208"/>
      <c r="R112" s="192"/>
    </row>
    <row r="113" spans="2:18" x14ac:dyDescent="0.25">
      <c r="B113" s="215"/>
      <c r="D113" s="14"/>
      <c r="E113" s="230"/>
      <c r="F113" s="203"/>
      <c r="G113" s="201"/>
      <c r="I113" s="230"/>
      <c r="J113" s="203"/>
      <c r="K113" s="203"/>
      <c r="L113" s="203"/>
      <c r="M113" s="233"/>
      <c r="N113" s="208"/>
      <c r="O113" s="11"/>
      <c r="P113" s="208"/>
      <c r="Q113" s="208"/>
      <c r="R113" s="192"/>
    </row>
    <row r="114" spans="2:18" x14ac:dyDescent="0.25">
      <c r="B114" s="215"/>
      <c r="D114" s="14"/>
      <c r="E114" s="230"/>
      <c r="F114" s="203"/>
      <c r="G114" s="201"/>
      <c r="I114" s="230"/>
      <c r="J114" s="203"/>
      <c r="K114" s="203"/>
      <c r="L114" s="203"/>
      <c r="M114" s="233"/>
      <c r="N114" s="208"/>
      <c r="O114" s="11"/>
      <c r="P114" s="208"/>
      <c r="Q114" s="208"/>
      <c r="R114" s="192"/>
    </row>
    <row r="115" spans="2:18" x14ac:dyDescent="0.25">
      <c r="B115" s="215"/>
      <c r="D115" s="14"/>
      <c r="E115" s="230"/>
      <c r="F115" s="203"/>
      <c r="G115" s="201"/>
      <c r="I115" s="230"/>
      <c r="J115" s="234"/>
      <c r="K115" s="203"/>
      <c r="L115" s="203"/>
      <c r="M115" s="233"/>
      <c r="N115" s="208"/>
      <c r="O115" s="11"/>
      <c r="P115" s="208"/>
      <c r="Q115" s="208"/>
      <c r="R115" s="192"/>
    </row>
    <row r="116" spans="2:18" ht="15.75" thickBot="1" x14ac:dyDescent="0.3">
      <c r="B116" s="215"/>
      <c r="D116" s="14"/>
      <c r="E116" s="219" t="s">
        <v>23</v>
      </c>
      <c r="F116" s="48">
        <f>SUM(F91:F115)</f>
        <v>11824.000000056447</v>
      </c>
      <c r="G116" s="139">
        <f>SUM(G91:G115)</f>
        <v>12257.000000449789</v>
      </c>
      <c r="I116" s="219" t="s">
        <v>23</v>
      </c>
      <c r="J116" s="48">
        <f t="shared" ref="J116:L116" si="2">SUM(J91:J115)</f>
        <v>259528</v>
      </c>
      <c r="K116" s="48">
        <f t="shared" si="2"/>
        <v>260194</v>
      </c>
      <c r="L116" s="48">
        <f t="shared" si="2"/>
        <v>336340</v>
      </c>
      <c r="M116" s="49" t="s">
        <v>24</v>
      </c>
      <c r="N116" s="9"/>
      <c r="O116" s="11"/>
      <c r="P116" s="9"/>
      <c r="Q116" s="9"/>
      <c r="R116" s="192"/>
    </row>
    <row r="117" spans="2:18" x14ac:dyDescent="0.25">
      <c r="B117" s="215"/>
      <c r="D117" s="14"/>
      <c r="H117" s="9"/>
      <c r="I117" s="9"/>
      <c r="J117" s="9"/>
      <c r="K117" s="9"/>
      <c r="L117" s="9"/>
      <c r="M117" s="9"/>
      <c r="N117" s="9"/>
      <c r="O117" s="9"/>
      <c r="P117" s="9"/>
      <c r="Q117" s="9"/>
      <c r="R117" s="192"/>
    </row>
    <row r="118" spans="2:18" ht="15.75" thickBot="1" x14ac:dyDescent="0.3">
      <c r="B118" s="220"/>
      <c r="C118" s="221"/>
      <c r="D118" s="221"/>
      <c r="E118" s="221"/>
      <c r="F118" s="221"/>
      <c r="G118" s="221"/>
      <c r="H118" s="221"/>
      <c r="I118" s="221"/>
      <c r="J118" s="221"/>
      <c r="K118" s="221"/>
      <c r="L118" s="221"/>
      <c r="M118" s="221"/>
      <c r="N118" s="221"/>
      <c r="O118" s="221"/>
      <c r="P118" s="221"/>
      <c r="Q118" s="221"/>
      <c r="R118" s="222"/>
    </row>
    <row r="119" spans="2:18" ht="15.75" thickTop="1" x14ac:dyDescent="0.25"/>
    <row r="120" spans="2:18" ht="15.75" thickBot="1" x14ac:dyDescent="0.3"/>
    <row r="121" spans="2:18" ht="15.75" thickTop="1" x14ac:dyDescent="0.25">
      <c r="B121" s="180" t="s">
        <v>103</v>
      </c>
      <c r="C121" s="181"/>
      <c r="D121" s="181"/>
      <c r="E121" s="181"/>
      <c r="F121" s="181"/>
      <c r="G121" s="181"/>
      <c r="H121" s="181"/>
      <c r="I121" s="181"/>
      <c r="J121" s="181"/>
      <c r="K121" s="181"/>
      <c r="L121" s="181"/>
      <c r="M121" s="181"/>
      <c r="N121" s="181"/>
      <c r="O121" s="181"/>
      <c r="P121" s="181"/>
      <c r="Q121" s="181"/>
      <c r="R121" s="182"/>
    </row>
    <row r="122" spans="2:18" x14ac:dyDescent="0.25">
      <c r="B122" s="183"/>
      <c r="R122" s="184"/>
    </row>
    <row r="123" spans="2:18" x14ac:dyDescent="0.25">
      <c r="B123" s="183" t="s">
        <v>11</v>
      </c>
      <c r="C123" t="s">
        <v>91</v>
      </c>
      <c r="R123" s="184"/>
    </row>
    <row r="124" spans="2:18" x14ac:dyDescent="0.25">
      <c r="B124" s="183"/>
      <c r="R124" s="184"/>
    </row>
    <row r="125" spans="2:18" x14ac:dyDescent="0.25">
      <c r="B125" s="183"/>
      <c r="E125" t="s">
        <v>86</v>
      </c>
      <c r="I125" t="s">
        <v>82</v>
      </c>
      <c r="O125" t="s">
        <v>83</v>
      </c>
      <c r="R125" s="184"/>
    </row>
    <row r="126" spans="2:18" ht="15.75" thickBot="1" x14ac:dyDescent="0.3">
      <c r="B126" s="183"/>
      <c r="R126" s="184"/>
    </row>
    <row r="127" spans="2:18" x14ac:dyDescent="0.25">
      <c r="B127" s="183" t="s">
        <v>65</v>
      </c>
      <c r="C127" s="185" t="s">
        <v>20</v>
      </c>
      <c r="D127" s="14"/>
      <c r="E127" s="15" t="s">
        <v>70</v>
      </c>
      <c r="F127" s="186" t="s">
        <v>89</v>
      </c>
      <c r="G127" s="131"/>
      <c r="I127" s="15" t="s">
        <v>70</v>
      </c>
      <c r="J127" s="16" t="s">
        <v>98</v>
      </c>
      <c r="K127" s="17"/>
      <c r="L127" s="18"/>
      <c r="M127" s="19" t="s">
        <v>53</v>
      </c>
      <c r="N127" s="11"/>
      <c r="O127" s="15" t="s">
        <v>81</v>
      </c>
      <c r="P127" s="20" t="s">
        <v>80</v>
      </c>
      <c r="Q127" s="187"/>
      <c r="R127" s="184"/>
    </row>
    <row r="128" spans="2:18" x14ac:dyDescent="0.25">
      <c r="B128" s="188" t="s">
        <v>64</v>
      </c>
      <c r="C128" s="185" t="s">
        <v>12</v>
      </c>
      <c r="D128" s="14"/>
      <c r="E128" s="25"/>
      <c r="F128" s="10">
        <v>2009</v>
      </c>
      <c r="G128" s="132">
        <v>2013</v>
      </c>
      <c r="I128" s="22"/>
      <c r="J128" s="10">
        <v>2009</v>
      </c>
      <c r="K128" s="23">
        <v>2013</v>
      </c>
      <c r="L128" s="23">
        <v>2022</v>
      </c>
      <c r="M128" s="24" t="s">
        <v>90</v>
      </c>
      <c r="N128" s="189"/>
      <c r="O128" s="25"/>
      <c r="P128" s="26">
        <v>2013</v>
      </c>
      <c r="Q128" s="190">
        <v>2022</v>
      </c>
      <c r="R128" s="184"/>
    </row>
    <row r="129" spans="2:18" x14ac:dyDescent="0.25">
      <c r="B129" s="188" t="s">
        <v>94</v>
      </c>
      <c r="C129" s="185" t="s">
        <v>70</v>
      </c>
      <c r="D129" s="14"/>
      <c r="E129" s="29" t="s">
        <v>0</v>
      </c>
      <c r="F129" s="33" t="s">
        <v>1</v>
      </c>
      <c r="G129" s="191" t="s">
        <v>2</v>
      </c>
      <c r="I129" s="29" t="s">
        <v>0</v>
      </c>
      <c r="J129" s="30" t="s">
        <v>1</v>
      </c>
      <c r="K129" s="31" t="s">
        <v>2</v>
      </c>
      <c r="L129" s="31" t="s">
        <v>3</v>
      </c>
      <c r="M129" s="32" t="s">
        <v>4</v>
      </c>
      <c r="N129" s="12"/>
      <c r="O129" s="29" t="s">
        <v>0</v>
      </c>
      <c r="P129" s="33" t="s">
        <v>1</v>
      </c>
      <c r="Q129" s="191" t="s">
        <v>2</v>
      </c>
      <c r="R129" s="192"/>
    </row>
    <row r="130" spans="2:18" x14ac:dyDescent="0.25">
      <c r="B130" s="183" t="s">
        <v>95</v>
      </c>
      <c r="C130" s="185" t="s">
        <v>70</v>
      </c>
      <c r="D130" s="14"/>
      <c r="E130" s="229" t="s">
        <v>73</v>
      </c>
      <c r="F130" s="194">
        <v>1331.060192936299</v>
      </c>
      <c r="G130" s="195">
        <v>1317.8738767144885</v>
      </c>
      <c r="I130" s="230">
        <v>54</v>
      </c>
      <c r="J130" s="197">
        <v>18012</v>
      </c>
      <c r="K130" s="194">
        <v>18941</v>
      </c>
      <c r="L130" s="194">
        <v>21670</v>
      </c>
      <c r="M130" s="231">
        <v>8.7999999999999995E-2</v>
      </c>
      <c r="N130" s="199"/>
      <c r="O130" s="25" t="s">
        <v>20</v>
      </c>
      <c r="P130" s="200">
        <v>43032</v>
      </c>
      <c r="Q130" s="201">
        <v>53542</v>
      </c>
      <c r="R130" s="192"/>
    </row>
    <row r="131" spans="2:18" ht="15.75" thickBot="1" x14ac:dyDescent="0.3">
      <c r="B131" s="183" t="s">
        <v>7</v>
      </c>
      <c r="C131" s="185" t="s">
        <v>71</v>
      </c>
      <c r="D131" s="14"/>
      <c r="E131" s="232" t="s">
        <v>74</v>
      </c>
      <c r="F131" s="203">
        <v>1551.6466555050624</v>
      </c>
      <c r="G131" s="204">
        <v>1657.9703610279048</v>
      </c>
      <c r="I131" s="230">
        <v>61</v>
      </c>
      <c r="J131" s="203">
        <v>21135</v>
      </c>
      <c r="K131" s="203">
        <v>22254</v>
      </c>
      <c r="L131" s="203">
        <v>40750</v>
      </c>
      <c r="M131" s="233">
        <v>7.9000000000000001E-2</v>
      </c>
      <c r="N131" s="208"/>
      <c r="O131" s="209" t="s">
        <v>12</v>
      </c>
      <c r="P131" s="210">
        <v>28971</v>
      </c>
      <c r="Q131" s="211">
        <v>33060</v>
      </c>
      <c r="R131" s="192"/>
    </row>
    <row r="132" spans="2:18" x14ac:dyDescent="0.25">
      <c r="B132" s="183" t="s">
        <v>8</v>
      </c>
      <c r="C132" s="185">
        <v>2009</v>
      </c>
      <c r="D132" s="14"/>
      <c r="E132" s="232" t="s">
        <v>75</v>
      </c>
      <c r="F132" s="203">
        <v>2874.2227537271783</v>
      </c>
      <c r="G132" s="204">
        <v>2578.7429449787164</v>
      </c>
      <c r="I132" s="230">
        <v>62</v>
      </c>
      <c r="J132" s="203">
        <v>39988</v>
      </c>
      <c r="K132" s="203">
        <v>38691</v>
      </c>
      <c r="L132" s="203">
        <v>45440</v>
      </c>
      <c r="M132" s="233">
        <v>5.2999999999999999E-2</v>
      </c>
      <c r="N132" s="208"/>
      <c r="O132" s="11"/>
      <c r="P132" s="208"/>
      <c r="Q132" s="208"/>
      <c r="R132" s="192"/>
    </row>
    <row r="133" spans="2:18" x14ac:dyDescent="0.25">
      <c r="B133" s="212" t="s">
        <v>9</v>
      </c>
      <c r="C133" s="185">
        <v>2013</v>
      </c>
      <c r="D133" s="14"/>
      <c r="E133" s="232" t="s">
        <v>76</v>
      </c>
      <c r="F133" s="203">
        <v>1395.1622418879056</v>
      </c>
      <c r="G133" s="204">
        <v>1641.5452467286773</v>
      </c>
      <c r="I133" s="230">
        <v>72</v>
      </c>
      <c r="J133" s="203">
        <v>22463</v>
      </c>
      <c r="K133" s="203">
        <v>24821</v>
      </c>
      <c r="L133" s="203">
        <v>21170</v>
      </c>
      <c r="M133" s="233">
        <v>9.4E-2</v>
      </c>
      <c r="N133" s="208"/>
      <c r="O133" s="11"/>
      <c r="P133" s="208"/>
      <c r="Q133" s="208"/>
      <c r="R133" s="192"/>
    </row>
    <row r="134" spans="2:18" x14ac:dyDescent="0.25">
      <c r="B134" s="188" t="s">
        <v>10</v>
      </c>
      <c r="C134" s="185">
        <v>2022</v>
      </c>
      <c r="D134" s="14"/>
      <c r="E134" s="232" t="s">
        <v>72</v>
      </c>
      <c r="F134" s="203">
        <v>4671.9081560000004</v>
      </c>
      <c r="G134" s="204">
        <v>5060.8675709999998</v>
      </c>
      <c r="I134" s="230" t="s">
        <v>72</v>
      </c>
      <c r="J134" s="203">
        <v>157930</v>
      </c>
      <c r="K134" s="203">
        <v>155487</v>
      </c>
      <c r="L134" s="203">
        <v>207310</v>
      </c>
      <c r="M134" s="233">
        <v>0.04</v>
      </c>
      <c r="N134" s="208"/>
      <c r="O134" s="11"/>
      <c r="P134" s="9"/>
      <c r="Q134" s="9"/>
      <c r="R134" s="192"/>
    </row>
    <row r="135" spans="2:18" x14ac:dyDescent="0.25">
      <c r="B135" s="188" t="s">
        <v>79</v>
      </c>
      <c r="C135" s="213" t="s">
        <v>80</v>
      </c>
      <c r="D135" s="14"/>
      <c r="E135" s="230"/>
      <c r="F135" s="203"/>
      <c r="G135" s="204"/>
      <c r="I135" s="230"/>
      <c r="J135" s="203"/>
      <c r="K135" s="203"/>
      <c r="L135" s="203"/>
      <c r="M135" s="233"/>
      <c r="N135" s="208"/>
      <c r="O135" s="11"/>
      <c r="P135" s="11"/>
      <c r="Q135" s="11"/>
      <c r="R135" s="214"/>
    </row>
    <row r="136" spans="2:18" x14ac:dyDescent="0.25">
      <c r="B136" s="215"/>
      <c r="D136" s="14"/>
      <c r="E136" s="230"/>
      <c r="F136" s="203"/>
      <c r="G136" s="204"/>
      <c r="I136" s="230"/>
      <c r="J136" s="203"/>
      <c r="K136" s="203"/>
      <c r="L136" s="203"/>
      <c r="M136" s="233"/>
      <c r="N136" s="208"/>
      <c r="O136" s="11"/>
      <c r="P136" s="208"/>
      <c r="Q136" s="208"/>
      <c r="R136" s="192"/>
    </row>
    <row r="137" spans="2:18" x14ac:dyDescent="0.25">
      <c r="B137" s="188"/>
      <c r="D137" s="14"/>
      <c r="E137" s="230"/>
      <c r="F137" s="203"/>
      <c r="G137" s="204"/>
      <c r="I137" s="230"/>
      <c r="J137" s="203"/>
      <c r="K137" s="203"/>
      <c r="L137" s="203"/>
      <c r="M137" s="233"/>
      <c r="N137" s="208"/>
      <c r="O137" s="11"/>
      <c r="P137" s="208"/>
      <c r="Q137" s="208"/>
      <c r="R137" s="192"/>
    </row>
    <row r="138" spans="2:18" x14ac:dyDescent="0.25">
      <c r="B138" s="188"/>
      <c r="C138" s="216"/>
      <c r="D138" s="14"/>
      <c r="E138" s="230"/>
      <c r="F138" s="203"/>
      <c r="G138" s="201"/>
      <c r="I138" s="230"/>
      <c r="J138" s="203"/>
      <c r="K138" s="203"/>
      <c r="L138" s="203"/>
      <c r="M138" s="233"/>
      <c r="N138" s="208"/>
      <c r="O138" s="11"/>
      <c r="P138" s="208"/>
      <c r="Q138" s="208"/>
      <c r="R138" s="192"/>
    </row>
    <row r="139" spans="2:18" x14ac:dyDescent="0.25">
      <c r="B139" s="215"/>
      <c r="D139" s="14"/>
      <c r="E139" s="230"/>
      <c r="F139" s="203"/>
      <c r="G139" s="201"/>
      <c r="I139" s="230"/>
      <c r="J139" s="203"/>
      <c r="K139" s="203"/>
      <c r="L139" s="203"/>
      <c r="M139" s="233"/>
      <c r="N139" s="208"/>
      <c r="O139" s="11"/>
      <c r="P139" s="208"/>
      <c r="Q139" s="208"/>
      <c r="R139" s="192"/>
    </row>
    <row r="140" spans="2:18" x14ac:dyDescent="0.25">
      <c r="B140" s="215"/>
      <c r="D140" s="14"/>
      <c r="E140" s="230"/>
      <c r="F140" s="203"/>
      <c r="G140" s="201"/>
      <c r="I140" s="230"/>
      <c r="J140" s="203"/>
      <c r="K140" s="203"/>
      <c r="L140" s="203"/>
      <c r="M140" s="233"/>
      <c r="N140" s="208"/>
      <c r="O140" s="11"/>
      <c r="P140" s="208"/>
      <c r="Q140" s="208"/>
      <c r="R140" s="192"/>
    </row>
    <row r="141" spans="2:18" x14ac:dyDescent="0.25">
      <c r="B141" s="215"/>
      <c r="D141" s="14"/>
      <c r="E141" s="230"/>
      <c r="F141" s="203"/>
      <c r="G141" s="201"/>
      <c r="I141" s="230"/>
      <c r="J141" s="203"/>
      <c r="K141" s="203"/>
      <c r="L141" s="203"/>
      <c r="M141" s="233"/>
      <c r="N141" s="208"/>
      <c r="O141" s="11"/>
      <c r="P141" s="208"/>
      <c r="Q141" s="208"/>
      <c r="R141" s="192"/>
    </row>
    <row r="142" spans="2:18" x14ac:dyDescent="0.25">
      <c r="B142" s="215"/>
      <c r="D142" s="14"/>
      <c r="E142" s="230"/>
      <c r="F142" s="203"/>
      <c r="G142" s="201"/>
      <c r="I142" s="230"/>
      <c r="J142" s="203"/>
      <c r="K142" s="203"/>
      <c r="L142" s="203"/>
      <c r="M142" s="233"/>
      <c r="N142" s="208"/>
      <c r="O142" s="11"/>
      <c r="P142" s="208"/>
      <c r="Q142" s="208"/>
      <c r="R142" s="192"/>
    </row>
    <row r="143" spans="2:18" x14ac:dyDescent="0.25">
      <c r="B143" s="215"/>
      <c r="D143" s="14"/>
      <c r="E143" s="230"/>
      <c r="F143" s="203"/>
      <c r="G143" s="201"/>
      <c r="I143" s="230"/>
      <c r="J143" s="203"/>
      <c r="K143" s="203"/>
      <c r="L143" s="203"/>
      <c r="M143" s="233"/>
      <c r="N143" s="208"/>
      <c r="O143" s="11"/>
      <c r="P143" s="208"/>
      <c r="Q143" s="208"/>
      <c r="R143" s="192"/>
    </row>
    <row r="144" spans="2:18" x14ac:dyDescent="0.25">
      <c r="B144" s="215"/>
      <c r="D144" s="14"/>
      <c r="E144" s="230"/>
      <c r="F144" s="203"/>
      <c r="G144" s="201"/>
      <c r="I144" s="230"/>
      <c r="J144" s="203"/>
      <c r="K144" s="203"/>
      <c r="L144" s="203"/>
      <c r="M144" s="233"/>
      <c r="N144" s="208"/>
      <c r="O144" s="11"/>
      <c r="P144" s="208"/>
      <c r="Q144" s="208"/>
      <c r="R144" s="192"/>
    </row>
    <row r="145" spans="2:18" x14ac:dyDescent="0.25">
      <c r="B145" s="215"/>
      <c r="D145" s="14"/>
      <c r="E145" s="230"/>
      <c r="F145" s="203"/>
      <c r="G145" s="201"/>
      <c r="I145" s="230"/>
      <c r="J145" s="203"/>
      <c r="K145" s="203"/>
      <c r="L145" s="203"/>
      <c r="M145" s="233"/>
      <c r="N145" s="208"/>
      <c r="O145" s="11"/>
      <c r="P145" s="208"/>
      <c r="Q145" s="208"/>
      <c r="R145" s="192"/>
    </row>
    <row r="146" spans="2:18" x14ac:dyDescent="0.25">
      <c r="B146" s="215"/>
      <c r="D146" s="14"/>
      <c r="E146" s="230"/>
      <c r="F146" s="203"/>
      <c r="G146" s="201"/>
      <c r="I146" s="230"/>
      <c r="J146" s="203"/>
      <c r="K146" s="203"/>
      <c r="L146" s="203"/>
      <c r="M146" s="233"/>
      <c r="N146" s="208"/>
      <c r="O146" s="11"/>
      <c r="P146" s="208"/>
      <c r="Q146" s="208"/>
      <c r="R146" s="192"/>
    </row>
    <row r="147" spans="2:18" x14ac:dyDescent="0.25">
      <c r="B147" s="215"/>
      <c r="D147" s="14"/>
      <c r="E147" s="230"/>
      <c r="F147" s="203"/>
      <c r="G147" s="201"/>
      <c r="I147" s="230"/>
      <c r="J147" s="203"/>
      <c r="K147" s="203"/>
      <c r="L147" s="203"/>
      <c r="M147" s="233"/>
      <c r="N147" s="208"/>
      <c r="O147" s="11"/>
      <c r="P147" s="208"/>
      <c r="Q147" s="208"/>
      <c r="R147" s="192"/>
    </row>
    <row r="148" spans="2:18" x14ac:dyDescent="0.25">
      <c r="B148" s="215"/>
      <c r="D148" s="14"/>
      <c r="E148" s="230"/>
      <c r="F148" s="203"/>
      <c r="G148" s="201"/>
      <c r="I148" s="230"/>
      <c r="J148" s="203"/>
      <c r="K148" s="203"/>
      <c r="L148" s="203"/>
      <c r="M148" s="233"/>
      <c r="N148" s="208"/>
      <c r="O148" s="11"/>
      <c r="P148" s="208"/>
      <c r="Q148" s="208"/>
      <c r="R148" s="192"/>
    </row>
    <row r="149" spans="2:18" x14ac:dyDescent="0.25">
      <c r="B149" s="215"/>
      <c r="D149" s="14"/>
      <c r="E149" s="230"/>
      <c r="F149" s="203"/>
      <c r="G149" s="201"/>
      <c r="I149" s="230"/>
      <c r="J149" s="203"/>
      <c r="K149" s="203"/>
      <c r="L149" s="203"/>
      <c r="M149" s="233"/>
      <c r="N149" s="208"/>
      <c r="O149" s="11"/>
      <c r="P149" s="208"/>
      <c r="Q149" s="208"/>
      <c r="R149" s="192"/>
    </row>
    <row r="150" spans="2:18" x14ac:dyDescent="0.25">
      <c r="B150" s="215"/>
      <c r="D150" s="14"/>
      <c r="E150" s="230"/>
      <c r="F150" s="203"/>
      <c r="G150" s="201"/>
      <c r="I150" s="230"/>
      <c r="J150" s="203"/>
      <c r="K150" s="203"/>
      <c r="L150" s="203"/>
      <c r="M150" s="233"/>
      <c r="N150" s="208"/>
      <c r="O150" s="11"/>
      <c r="P150" s="208"/>
      <c r="Q150" s="208"/>
      <c r="R150" s="192"/>
    </row>
    <row r="151" spans="2:18" x14ac:dyDescent="0.25">
      <c r="B151" s="215"/>
      <c r="D151" s="14"/>
      <c r="E151" s="230"/>
      <c r="F151" s="203"/>
      <c r="G151" s="201"/>
      <c r="I151" s="230"/>
      <c r="J151" s="203"/>
      <c r="K151" s="203"/>
      <c r="L151" s="203"/>
      <c r="M151" s="233"/>
      <c r="N151" s="208"/>
      <c r="O151" s="11"/>
      <c r="P151" s="208"/>
      <c r="Q151" s="208"/>
      <c r="R151" s="192"/>
    </row>
    <row r="152" spans="2:18" x14ac:dyDescent="0.25">
      <c r="B152" s="215"/>
      <c r="D152" s="14"/>
      <c r="E152" s="230"/>
      <c r="F152" s="203"/>
      <c r="G152" s="201"/>
      <c r="I152" s="230"/>
      <c r="J152" s="203"/>
      <c r="K152" s="203"/>
      <c r="L152" s="203"/>
      <c r="M152" s="233"/>
      <c r="N152" s="208"/>
      <c r="O152" s="11"/>
      <c r="P152" s="208"/>
      <c r="Q152" s="208"/>
      <c r="R152" s="192"/>
    </row>
    <row r="153" spans="2:18" x14ac:dyDescent="0.25">
      <c r="B153" s="215"/>
      <c r="D153" s="14"/>
      <c r="E153" s="230"/>
      <c r="F153" s="203"/>
      <c r="G153" s="201"/>
      <c r="I153" s="230"/>
      <c r="J153" s="203"/>
      <c r="K153" s="203"/>
      <c r="L153" s="203"/>
      <c r="M153" s="233"/>
      <c r="N153" s="208"/>
      <c r="O153" s="11"/>
      <c r="P153" s="208"/>
      <c r="Q153" s="208"/>
      <c r="R153" s="192"/>
    </row>
    <row r="154" spans="2:18" x14ac:dyDescent="0.25">
      <c r="B154" s="215"/>
      <c r="D154" s="14"/>
      <c r="E154" s="230"/>
      <c r="F154" s="203"/>
      <c r="G154" s="201"/>
      <c r="I154" s="230"/>
      <c r="J154" s="234"/>
      <c r="K154" s="203"/>
      <c r="L154" s="203"/>
      <c r="M154" s="233"/>
      <c r="N154" s="208"/>
      <c r="O154" s="11"/>
      <c r="P154" s="208"/>
      <c r="Q154" s="208"/>
      <c r="R154" s="192"/>
    </row>
    <row r="155" spans="2:18" ht="15.75" thickBot="1" x14ac:dyDescent="0.3">
      <c r="B155" s="215"/>
      <c r="D155" s="14"/>
      <c r="E155" s="219" t="s">
        <v>23</v>
      </c>
      <c r="F155" s="48">
        <f>SUM(F130:F154)</f>
        <v>11824.000000056447</v>
      </c>
      <c r="G155" s="139">
        <f>SUM(G130:G154)</f>
        <v>12257.000000449789</v>
      </c>
      <c r="I155" s="219" t="s">
        <v>23</v>
      </c>
      <c r="J155" s="48">
        <f t="shared" ref="J155:L155" si="3">SUM(J130:J154)</f>
        <v>259528</v>
      </c>
      <c r="K155" s="48">
        <f t="shared" si="3"/>
        <v>260194</v>
      </c>
      <c r="L155" s="48">
        <f t="shared" si="3"/>
        <v>336340</v>
      </c>
      <c r="M155" s="49" t="s">
        <v>24</v>
      </c>
      <c r="N155" s="9"/>
      <c r="O155" s="11"/>
      <c r="P155" s="9"/>
      <c r="Q155" s="9"/>
      <c r="R155" s="192"/>
    </row>
    <row r="156" spans="2:18" x14ac:dyDescent="0.25">
      <c r="B156" s="215"/>
      <c r="D156" s="14"/>
      <c r="H156" s="9"/>
      <c r="I156" s="9"/>
      <c r="J156" s="9"/>
      <c r="K156" s="9"/>
      <c r="L156" s="9"/>
      <c r="M156" s="9"/>
      <c r="N156" s="9"/>
      <c r="O156" s="9"/>
      <c r="P156" s="9"/>
      <c r="Q156" s="9"/>
      <c r="R156" s="192"/>
    </row>
    <row r="157" spans="2:18" ht="15.75" thickBot="1" x14ac:dyDescent="0.3">
      <c r="B157" s="220"/>
      <c r="C157" s="221"/>
      <c r="D157" s="221"/>
      <c r="E157" s="221"/>
      <c r="F157" s="221"/>
      <c r="G157" s="221"/>
      <c r="H157" s="221"/>
      <c r="I157" s="221"/>
      <c r="J157" s="221"/>
      <c r="K157" s="221"/>
      <c r="L157" s="221"/>
      <c r="M157" s="221"/>
      <c r="N157" s="221"/>
      <c r="O157" s="221"/>
      <c r="P157" s="221"/>
      <c r="Q157" s="221"/>
      <c r="R157" s="222"/>
    </row>
    <row r="158" spans="2:18" ht="15.75" thickTop="1" x14ac:dyDescent="0.25"/>
  </sheetData>
  <sheetProtection password="DF21" sheet="1" formatCells="0" formatColumns="0" formatRows="0"/>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6E85A-FE75-4050-B2A3-02A6E984D516}">
  <sheetPr>
    <pageSetUpPr fitToPage="1"/>
  </sheetPr>
  <dimension ref="A2:R375"/>
  <sheetViews>
    <sheetView zoomScale="90" zoomScaleNormal="90" workbookViewId="0"/>
  </sheetViews>
  <sheetFormatPr defaultRowHeight="15" x14ac:dyDescent="0.25"/>
  <cols>
    <col min="2" max="2" width="19.140625" customWidth="1"/>
    <col min="3" max="3" width="18.42578125" customWidth="1"/>
    <col min="4" max="4" width="15.85546875" customWidth="1"/>
    <col min="5" max="5" width="17.42578125" customWidth="1"/>
    <col min="6" max="6" width="16" customWidth="1"/>
    <col min="7" max="7" width="17.28515625" customWidth="1"/>
    <col min="8" max="8" width="16.42578125" customWidth="1"/>
    <col min="9" max="9" width="13.5703125" customWidth="1"/>
    <col min="10" max="10" width="18.140625" customWidth="1"/>
    <col min="11" max="11" width="16.85546875" customWidth="1"/>
    <col min="12" max="12" width="16.140625" customWidth="1"/>
    <col min="13" max="13" width="16.7109375" customWidth="1"/>
    <col min="14" max="15" width="16.85546875" customWidth="1"/>
    <col min="16" max="16" width="15.28515625" customWidth="1"/>
    <col min="17" max="17" width="15" customWidth="1"/>
    <col min="18" max="18" width="14" customWidth="1"/>
  </cols>
  <sheetData>
    <row r="2" spans="1:13" x14ac:dyDescent="0.25">
      <c r="A2" s="9"/>
      <c r="C2" s="247" t="str">
        <f>IF(one.refer,"",refer.area&amp;" "&amp;variable)</f>
        <v/>
      </c>
      <c r="D2" s="248"/>
      <c r="E2" s="248"/>
      <c r="F2" s="248"/>
      <c r="G2" s="248"/>
      <c r="I2" s="12"/>
      <c r="K2" s="13"/>
    </row>
    <row r="3" spans="1:13" ht="15.75" thickBot="1" x14ac:dyDescent="0.3">
      <c r="A3" s="14"/>
      <c r="E3" s="13"/>
      <c r="F3" s="13"/>
      <c r="G3" s="13"/>
      <c r="I3" s="12"/>
    </row>
    <row r="4" spans="1:13" x14ac:dyDescent="0.25">
      <c r="A4" s="9"/>
      <c r="B4" s="9"/>
      <c r="C4" s="15" t="str">
        <f>refer.label</f>
        <v>County</v>
      </c>
      <c r="D4" s="16" t="str">
        <f>variable</f>
        <v>Population</v>
      </c>
      <c r="E4" s="17"/>
      <c r="F4" s="18"/>
      <c r="G4" s="19" t="s">
        <v>53</v>
      </c>
      <c r="J4" s="15" t="s">
        <v>81</v>
      </c>
      <c r="K4" s="20" t="str">
        <f>IF(adjust.label="","",adjust.label)</f>
        <v/>
      </c>
      <c r="L4" s="20"/>
      <c r="M4" s="21"/>
    </row>
    <row r="5" spans="1:13" x14ac:dyDescent="0.25">
      <c r="A5" s="9"/>
      <c r="B5" s="9"/>
      <c r="C5" s="80"/>
      <c r="D5" s="37" t="str">
        <f>"X{i}^"&amp;base.year</f>
        <v>X{i}^2000</v>
      </c>
      <c r="E5" s="37" t="str">
        <f>"X{i}^"&amp;launch.year</f>
        <v>X{i}^2010</v>
      </c>
      <c r="F5" s="37" t="str">
        <f>"X{i}^"&amp;target.year</f>
        <v>X{i}^2040</v>
      </c>
      <c r="G5" s="245"/>
      <c r="J5" s="25"/>
      <c r="K5" s="26" t="str">
        <f>IF(adjust.label="","",launch.year)</f>
        <v/>
      </c>
      <c r="L5" s="27" t="str">
        <f>IF(adjust.label="","",target.year)</f>
        <v/>
      </c>
      <c r="M5" s="21"/>
    </row>
    <row r="6" spans="1:13" x14ac:dyDescent="0.25">
      <c r="A6" s="9"/>
      <c r="C6" s="22"/>
      <c r="D6" s="246">
        <f>base.year</f>
        <v>2000</v>
      </c>
      <c r="E6" s="122">
        <f>launch.year</f>
        <v>2010</v>
      </c>
      <c r="F6" s="122">
        <f>target.year</f>
        <v>2040</v>
      </c>
      <c r="G6" s="24" t="str">
        <f>TEXT(launch.year,0)&amp;"-"&amp;TEXT(target.year,0)</f>
        <v>2010-2040</v>
      </c>
      <c r="J6" s="29" t="s">
        <v>0</v>
      </c>
      <c r="K6" s="33" t="s">
        <v>1</v>
      </c>
      <c r="L6" s="34" t="s">
        <v>2</v>
      </c>
      <c r="M6" s="28"/>
    </row>
    <row r="7" spans="1:13" x14ac:dyDescent="0.25">
      <c r="A7" s="9"/>
      <c r="C7" s="29" t="s">
        <v>0</v>
      </c>
      <c r="D7" s="30" t="s">
        <v>1</v>
      </c>
      <c r="E7" s="31" t="s">
        <v>2</v>
      </c>
      <c r="F7" s="31" t="s">
        <v>3</v>
      </c>
      <c r="G7" s="32" t="s">
        <v>4</v>
      </c>
      <c r="J7" s="25" t="str">
        <f>IF(adjust.label="","",study.area)</f>
        <v/>
      </c>
      <c r="K7" s="39" t="str">
        <f>IF(Input!P11="","",Input!P11)</f>
        <v/>
      </c>
      <c r="L7" s="39" t="str">
        <f>IF(Input!Q11="","",Input!Q11)</f>
        <v/>
      </c>
      <c r="M7" s="35"/>
    </row>
    <row r="8" spans="1:13" ht="15.75" thickBot="1" x14ac:dyDescent="0.3">
      <c r="A8" s="9"/>
      <c r="C8" s="36" t="str">
        <f>Input!I11</f>
        <v>DeKalb County</v>
      </c>
      <c r="D8" s="37">
        <f>Input!J11</f>
        <v>665865</v>
      </c>
      <c r="E8" s="37">
        <f>Input!K11</f>
        <v>691893</v>
      </c>
      <c r="F8" s="37">
        <f>Input!L11</f>
        <v>881851</v>
      </c>
      <c r="G8" s="38">
        <f>IF(Input!M11="","",Input!M11)</f>
        <v>2.29E-2</v>
      </c>
      <c r="I8" s="12"/>
      <c r="J8" s="25" t="str">
        <f>IF(adjust.label="","",refer.area)</f>
        <v/>
      </c>
      <c r="K8" s="39" t="str">
        <f>IF(Input!P12="","",Input!P12)</f>
        <v/>
      </c>
      <c r="L8" s="39" t="str">
        <f>IF(Input!Q12="","",Input!Q12)</f>
        <v/>
      </c>
      <c r="M8" s="28"/>
    </row>
    <row r="9" spans="1:13" x14ac:dyDescent="0.25">
      <c r="A9" s="9"/>
      <c r="C9" s="40" t="str">
        <f>IF(Input!I12="","",Input!I12)</f>
        <v/>
      </c>
      <c r="D9" s="41" t="str">
        <f>IF(Input!J12="","",Input!J12)</f>
        <v/>
      </c>
      <c r="E9" s="41" t="str">
        <f>IF(Input!K12="","",Input!K12)</f>
        <v/>
      </c>
      <c r="F9" s="41" t="str">
        <f>IF(Input!L12="","",Input!L12)</f>
        <v/>
      </c>
      <c r="G9" s="42" t="str">
        <f>IF(Input!M12="","",Input!M12)</f>
        <v/>
      </c>
      <c r="J9" s="43"/>
      <c r="K9" s="43"/>
      <c r="L9" s="43"/>
      <c r="M9" s="28"/>
    </row>
    <row r="10" spans="1:13" x14ac:dyDescent="0.25">
      <c r="A10" s="9"/>
      <c r="C10" s="40" t="str">
        <f>IF(Input!I13="","",Input!I13)</f>
        <v/>
      </c>
      <c r="D10" s="41" t="str">
        <f>IF(Input!J13="","",Input!J13)</f>
        <v/>
      </c>
      <c r="E10" s="41" t="str">
        <f>IF(Input!K13="","",Input!K13)</f>
        <v/>
      </c>
      <c r="F10" s="41" t="str">
        <f>IF(Input!L13="","",Input!L13)</f>
        <v/>
      </c>
      <c r="G10" s="42" t="str">
        <f>IF(Input!M13="","",Input!M13)</f>
        <v/>
      </c>
    </row>
    <row r="11" spans="1:13" x14ac:dyDescent="0.25">
      <c r="C11" s="40" t="str">
        <f>IF(Input!I14="","",Input!I14)</f>
        <v/>
      </c>
      <c r="D11" s="41" t="str">
        <f>IF(Input!J14="","",Input!J14)</f>
        <v/>
      </c>
      <c r="E11" s="41" t="str">
        <f>IF(Input!K14="","",Input!K14)</f>
        <v/>
      </c>
      <c r="F11" s="41" t="str">
        <f>IF(Input!L14="","",Input!L14)</f>
        <v/>
      </c>
      <c r="G11" s="42" t="str">
        <f>IF(Input!M14="","",Input!M14)</f>
        <v/>
      </c>
      <c r="J11" s="44" t="str">
        <f>IF(one.refer,"","Adjustment = ")</f>
        <v/>
      </c>
      <c r="K11" t="str">
        <f>IF(one.refer,"",IF(OR(L7="",L8=""),"","(fi^"&amp;target&amp;" / Fi^"&amp;target&amp;") / (fi^"&amp;launch&amp;"/ Fi^"&amp;launch))</f>
        <v/>
      </c>
    </row>
    <row r="12" spans="1:13" x14ac:dyDescent="0.25">
      <c r="A12" s="9"/>
      <c r="B12" s="9"/>
      <c r="C12" s="40" t="str">
        <f>IF(Input!I15="","",Input!I15)</f>
        <v/>
      </c>
      <c r="D12" s="41" t="str">
        <f>IF(Input!J15="","",Input!J15)</f>
        <v/>
      </c>
      <c r="E12" s="41" t="str">
        <f>IF(Input!K15="","",Input!K15)</f>
        <v/>
      </c>
      <c r="F12" s="41" t="str">
        <f>IF(Input!L15="","",Input!L15)</f>
        <v/>
      </c>
      <c r="G12" s="42" t="str">
        <f>IF(Input!M15="","",Input!M15)</f>
        <v/>
      </c>
      <c r="J12" s="103" t="str">
        <f>IF(one.refer,""," = ")</f>
        <v/>
      </c>
      <c r="K12" s="93" t="str">
        <f>IF(one.refer,"",IF(OR($L$7="",$L$8=""),1,"("&amp; TEXT($L$7,"#,###")&amp;" /"&amp;TEXT($L$8,"#,###")&amp;") / (" &amp;TEXT($K$7,"#,###")&amp;"/ "&amp;TEXT($K$8,"#,###")&amp;")"))</f>
        <v/>
      </c>
    </row>
    <row r="13" spans="1:13" x14ac:dyDescent="0.25">
      <c r="A13" s="9"/>
      <c r="B13" s="9"/>
      <c r="C13" s="40"/>
      <c r="D13" s="41"/>
      <c r="E13" s="41"/>
      <c r="F13" s="41"/>
      <c r="G13" s="42"/>
      <c r="J13" s="103" t="str">
        <f>IF(one.refer,""," = ")</f>
        <v/>
      </c>
      <c r="K13" s="93" t="str">
        <f>IF(one.refer,"",IF(OR($L$7="",$L$8=""),1,($L$7/$L$8)/($K$7/$K$8)))</f>
        <v/>
      </c>
      <c r="L13" s="93"/>
    </row>
    <row r="14" spans="1:13" x14ac:dyDescent="0.25">
      <c r="A14" s="10"/>
      <c r="C14" s="40" t="str">
        <f>IF(Input!I17="","",Input!I17)</f>
        <v/>
      </c>
      <c r="D14" s="41" t="str">
        <f>IF(Input!J17="","",Input!J17)</f>
        <v/>
      </c>
      <c r="E14" s="41" t="str">
        <f>IF(Input!K17="","",Input!K17)</f>
        <v/>
      </c>
      <c r="F14" s="41" t="str">
        <f>IF(Input!L17="","",Input!L17)</f>
        <v/>
      </c>
      <c r="G14" s="42" t="str">
        <f>IF(Input!M17="","",Input!M17)</f>
        <v/>
      </c>
    </row>
    <row r="15" spans="1:13" x14ac:dyDescent="0.25">
      <c r="A15" s="10"/>
      <c r="C15" s="40" t="str">
        <f>IF(Input!I18="","",Input!I18)</f>
        <v/>
      </c>
      <c r="D15" s="41" t="str">
        <f>IF(Input!J18="","",Input!J18)</f>
        <v/>
      </c>
      <c r="E15" s="41" t="str">
        <f>IF(Input!K18="","",Input!K18)</f>
        <v/>
      </c>
      <c r="F15" s="41" t="str">
        <f>IF(Input!L18="","",Input!L18)</f>
        <v/>
      </c>
      <c r="G15" s="42" t="str">
        <f>IF(Input!M18="","",Input!M18)</f>
        <v/>
      </c>
      <c r="J15" s="44" t="s">
        <v>66</v>
      </c>
      <c r="K15" t="b">
        <f>IF(COUNTA(Input!E11:'Input'!E35)= 1,TRUE,FALSE)</f>
        <v>1</v>
      </c>
    </row>
    <row r="16" spans="1:13" x14ac:dyDescent="0.25">
      <c r="A16" s="10"/>
      <c r="C16" s="40" t="str">
        <f>IF(Input!I19="","",Input!I19)</f>
        <v/>
      </c>
      <c r="D16" s="41" t="str">
        <f>IF(Input!J19="","",Input!J19)</f>
        <v/>
      </c>
      <c r="E16" s="41" t="str">
        <f>IF(Input!K19="","",Input!K19)</f>
        <v/>
      </c>
      <c r="F16" s="41" t="str">
        <f>IF(Input!L19="","",Input!L19)</f>
        <v/>
      </c>
      <c r="G16" s="42" t="str">
        <f>IF(Input!M19="","",Input!M19)</f>
        <v/>
      </c>
      <c r="J16" s="44" t="s">
        <v>68</v>
      </c>
      <c r="K16" t="b">
        <f>IF(COUNTA(Input!I11:'Input'!I35)= 1,TRUE,FALSE)</f>
        <v>1</v>
      </c>
    </row>
    <row r="17" spans="1:15" x14ac:dyDescent="0.25">
      <c r="A17" s="10"/>
      <c r="C17" s="40" t="str">
        <f>IF(Input!I20="","",Input!I20)</f>
        <v/>
      </c>
      <c r="D17" s="41" t="str">
        <f>IF(Input!J20="","",Input!J20)</f>
        <v/>
      </c>
      <c r="E17" s="41" t="str">
        <f>IF(Input!K20="","",Input!K20)</f>
        <v/>
      </c>
      <c r="F17" s="41" t="str">
        <f>IF(Input!L20="","",Input!L20)</f>
        <v/>
      </c>
      <c r="G17" s="42" t="str">
        <f>IF(Input!M20="","",Input!M20)</f>
        <v/>
      </c>
      <c r="J17" s="44" t="s">
        <v>49</v>
      </c>
      <c r="K17" s="13" t="str">
        <f>TEXT(base.year,0)</f>
        <v>2000</v>
      </c>
    </row>
    <row r="18" spans="1:15" x14ac:dyDescent="0.25">
      <c r="A18" s="10"/>
      <c r="C18" s="40" t="str">
        <f>IF(Input!I21="","",Input!I21)</f>
        <v/>
      </c>
      <c r="D18" s="41" t="str">
        <f>IF(Input!J21="","",Input!J21)</f>
        <v/>
      </c>
      <c r="E18" s="41" t="str">
        <f>IF(Input!K21="","",Input!K21)</f>
        <v/>
      </c>
      <c r="F18" s="41" t="str">
        <f>IF(Input!L21="","",Input!L21)</f>
        <v/>
      </c>
      <c r="G18" s="42" t="str">
        <f>IF(Input!M21="","",Input!M21)</f>
        <v/>
      </c>
      <c r="J18" s="44" t="s">
        <v>50</v>
      </c>
      <c r="K18" s="13" t="str">
        <f>TEXT(launch.year,0)</f>
        <v>2010</v>
      </c>
    </row>
    <row r="19" spans="1:15" x14ac:dyDescent="0.25">
      <c r="A19" s="10"/>
      <c r="C19" s="40" t="str">
        <f>IF(Input!I22="","",Input!I22)</f>
        <v/>
      </c>
      <c r="D19" s="41" t="str">
        <f>IF(Input!J22="","",Input!J22)</f>
        <v/>
      </c>
      <c r="E19" s="41" t="str">
        <f>IF(Input!K22="","",Input!K22)</f>
        <v/>
      </c>
      <c r="F19" s="41" t="str">
        <f>IF(Input!L22="","",Input!L22)</f>
        <v/>
      </c>
      <c r="G19" s="42" t="str">
        <f>IF(Input!M22="","",Input!M22)</f>
        <v/>
      </c>
      <c r="J19" s="44" t="s">
        <v>51</v>
      </c>
      <c r="K19" s="13" t="str">
        <f>TEXT(target.year,0)</f>
        <v>2040</v>
      </c>
    </row>
    <row r="20" spans="1:15" x14ac:dyDescent="0.25">
      <c r="A20" s="10"/>
      <c r="C20" s="40" t="str">
        <f>IF(Input!I23="","",Input!I23)</f>
        <v/>
      </c>
      <c r="D20" s="41" t="str">
        <f>IF(Input!J23="","",Input!J23)</f>
        <v/>
      </c>
      <c r="E20" s="41" t="str">
        <f>IF(Input!K23="","",Input!K23)</f>
        <v/>
      </c>
      <c r="F20" s="41" t="str">
        <f>IF(Input!L23="","",Input!L23)</f>
        <v/>
      </c>
      <c r="G20" s="42" t="str">
        <f>IF(Input!M23="","",Input!M23)</f>
        <v/>
      </c>
      <c r="J20" s="44" t="s">
        <v>52</v>
      </c>
      <c r="K20" s="11" t="str">
        <f>"x{1}^"&amp;target&amp;" = "</f>
        <v xml:space="preserve">x{1}^2040 = </v>
      </c>
    </row>
    <row r="21" spans="1:15" x14ac:dyDescent="0.25">
      <c r="A21" s="10"/>
      <c r="C21" s="40" t="str">
        <f>IF(Input!I24="","",Input!I24)</f>
        <v/>
      </c>
      <c r="D21" s="41" t="str">
        <f>IF(Input!J24="","",Input!J24)</f>
        <v/>
      </c>
      <c r="E21" s="41" t="str">
        <f>IF(Input!K24="","",Input!K24)</f>
        <v/>
      </c>
      <c r="F21" s="41" t="str">
        <f>IF(Input!L24="","",Input!L24)</f>
        <v/>
      </c>
      <c r="G21" s="42" t="str">
        <f>IF(Input!M24="","",Input!M24)</f>
        <v/>
      </c>
      <c r="J21" s="44" t="s">
        <v>48</v>
      </c>
      <c r="K21" s="45" t="s">
        <v>47</v>
      </c>
    </row>
    <row r="22" spans="1:15" x14ac:dyDescent="0.25">
      <c r="A22" s="10"/>
      <c r="C22" s="40" t="str">
        <f>IF(Input!I25="","",Input!I25)</f>
        <v/>
      </c>
      <c r="D22" s="41" t="str">
        <f>IF(Input!J25="","",Input!J25)</f>
        <v/>
      </c>
      <c r="E22" s="41" t="str">
        <f>IF(Input!K25="","",Input!K25)</f>
        <v/>
      </c>
      <c r="F22" s="41" t="str">
        <f>IF(Input!L25="","",Input!L25)</f>
        <v/>
      </c>
      <c r="G22" s="42" t="str">
        <f>IF(Input!M25="","",Input!M25)</f>
        <v/>
      </c>
      <c r="J22" s="44" t="s">
        <v>56</v>
      </c>
      <c r="K22" s="45" t="s">
        <v>57</v>
      </c>
    </row>
    <row r="23" spans="1:15" x14ac:dyDescent="0.25">
      <c r="A23" s="10"/>
      <c r="C23" s="40" t="str">
        <f>IF(Input!I26="","",Input!I26)</f>
        <v/>
      </c>
      <c r="D23" s="41" t="str">
        <f>IF(Input!J26="","",Input!J26)</f>
        <v/>
      </c>
      <c r="E23" s="41" t="str">
        <f>IF(Input!K26="","",Input!K26)</f>
        <v/>
      </c>
      <c r="F23" s="41" t="str">
        <f>IF(Input!L26="","",Input!L26)</f>
        <v/>
      </c>
      <c r="G23" s="42" t="str">
        <f>IF(Input!M26="","",Input!M26)</f>
        <v/>
      </c>
      <c r="J23" s="44" t="str">
        <f>IF(one.refer,"X.base = ","")</f>
        <v xml:space="preserve">X.base = </v>
      </c>
      <c r="K23" s="11">
        <f>IF(one.refer,X.base,"")</f>
        <v>665865</v>
      </c>
    </row>
    <row r="24" spans="1:15" x14ac:dyDescent="0.25">
      <c r="A24" s="10"/>
      <c r="C24" s="40" t="str">
        <f>IF(Input!I27="","",Input!I27)</f>
        <v/>
      </c>
      <c r="D24" s="41" t="str">
        <f>IF(Input!J27="","",Input!J27)</f>
        <v/>
      </c>
      <c r="E24" s="41" t="str">
        <f>IF(Input!K27="","",Input!K27)</f>
        <v/>
      </c>
      <c r="F24" s="41" t="str">
        <f>IF(Input!L27="","",Input!L27)</f>
        <v/>
      </c>
      <c r="G24" s="42" t="str">
        <f>IF(Input!M27="","",Input!M27)</f>
        <v/>
      </c>
      <c r="J24" s="44" t="str">
        <f>IF(one.refer,"X.launch = ","")</f>
        <v xml:space="preserve">X.launch = </v>
      </c>
      <c r="K24" s="11">
        <f>IF(one.refer,X.launch,"")</f>
        <v>691893</v>
      </c>
    </row>
    <row r="25" spans="1:15" x14ac:dyDescent="0.25">
      <c r="A25" s="10"/>
      <c r="C25" s="40" t="str">
        <f>IF(Input!I28="","",Input!I28)</f>
        <v/>
      </c>
      <c r="D25" s="41" t="str">
        <f>IF(Input!J28="","",Input!J28)</f>
        <v/>
      </c>
      <c r="E25" s="41" t="str">
        <f>IF(Input!K28="","",Input!K28)</f>
        <v/>
      </c>
      <c r="F25" s="41" t="str">
        <f>IF(Input!L28="","",Input!L28)</f>
        <v/>
      </c>
      <c r="G25" s="42" t="str">
        <f>IF(Input!M28="","",Input!M28)</f>
        <v/>
      </c>
      <c r="J25" s="44" t="str">
        <f>IF(one.refer,"X.target = ","")</f>
        <v xml:space="preserve">X.target = </v>
      </c>
      <c r="K25" s="11">
        <f>IF(one.refer,X.target,"")</f>
        <v>881851</v>
      </c>
    </row>
    <row r="26" spans="1:15" x14ac:dyDescent="0.25">
      <c r="A26" s="10"/>
      <c r="C26" s="40" t="str">
        <f>IF(Input!I29="","",Input!I29)</f>
        <v/>
      </c>
      <c r="D26" s="41" t="str">
        <f>IF(Input!J29="","",Input!J29)</f>
        <v/>
      </c>
      <c r="E26" s="41" t="str">
        <f>IF(Input!K29="","",Input!K29)</f>
        <v/>
      </c>
      <c r="F26" s="41" t="str">
        <f>IF(Input!L29="","",Input!L29)</f>
        <v/>
      </c>
      <c r="G26" s="42" t="str">
        <f>IF(Input!M29="","",Input!M29)</f>
        <v/>
      </c>
      <c r="J26" s="44" t="str">
        <f>IF(one.refer,"s.trend = ","")</f>
        <v xml:space="preserve">s.trend = </v>
      </c>
      <c r="K26" s="11">
        <f>IF(one.refer,Input!M11,"")</f>
        <v>2.29E-2</v>
      </c>
    </row>
    <row r="27" spans="1:15" x14ac:dyDescent="0.25">
      <c r="A27" s="10"/>
      <c r="C27" s="40" t="str">
        <f>IF(Input!I30="","",Input!I30)</f>
        <v/>
      </c>
      <c r="D27" s="41" t="str">
        <f>IF(Input!J30="","",Input!J30)</f>
        <v/>
      </c>
      <c r="E27" s="41" t="str">
        <f>IF(Input!K30="","",Input!K30)</f>
        <v/>
      </c>
      <c r="F27" s="41" t="str">
        <f>IF(Input!L30="","",Input!L30)</f>
        <v/>
      </c>
      <c r="G27" s="42" t="str">
        <f>IF(Input!M30="","",Input!M30)</f>
        <v/>
      </c>
      <c r="J27" s="44" t="str">
        <f>IF(one.refer,"x1.base = ","")</f>
        <v xml:space="preserve">x1.base = </v>
      </c>
      <c r="K27" s="11">
        <f>IF(one.refer,Input!F11,"")</f>
        <v>18147</v>
      </c>
    </row>
    <row r="28" spans="1:15" x14ac:dyDescent="0.25">
      <c r="A28" s="10"/>
      <c r="C28" s="40" t="str">
        <f>IF(Input!I31="","",Input!I31)</f>
        <v/>
      </c>
      <c r="D28" s="41" t="str">
        <f>IF(Input!J31="","",Input!J31)</f>
        <v/>
      </c>
      <c r="E28" s="41" t="str">
        <f>IF(Input!K31="","",Input!K31)</f>
        <v/>
      </c>
      <c r="F28" s="41" t="str">
        <f>IF(Input!L31="","",Input!L31)</f>
        <v/>
      </c>
      <c r="G28" s="42" t="str">
        <f>IF(Input!M31="","",Input!M31)</f>
        <v/>
      </c>
      <c r="J28" s="44" t="str">
        <f>IF(one.refer,"x1.launch = ","")</f>
        <v xml:space="preserve">x1.launch = </v>
      </c>
      <c r="K28" s="11">
        <f>IF(one.refer,Input!G11,"")</f>
        <v>19335</v>
      </c>
    </row>
    <row r="29" spans="1:15" x14ac:dyDescent="0.25">
      <c r="A29" s="10"/>
      <c r="C29" s="40" t="str">
        <f>IF(Input!I32="","",Input!I32)</f>
        <v/>
      </c>
      <c r="D29" s="41" t="str">
        <f>IF(Input!J32="","",Input!J32)</f>
        <v/>
      </c>
      <c r="E29" s="41" t="str">
        <f>IF(Input!K32="","",Input!K32)</f>
        <v/>
      </c>
      <c r="F29" s="41" t="str">
        <f>IF(Input!L32="","",Input!L32)</f>
        <v/>
      </c>
      <c r="G29" s="42" t="str">
        <f>IF(Input!M32="","",Input!M32)</f>
        <v/>
      </c>
    </row>
    <row r="30" spans="1:15" x14ac:dyDescent="0.25">
      <c r="A30" s="10"/>
      <c r="C30" s="40" t="str">
        <f>IF(Input!I33="","",Input!I33)</f>
        <v/>
      </c>
      <c r="D30" s="41" t="str">
        <f>IF(Input!J33="","",Input!J33)</f>
        <v/>
      </c>
      <c r="E30" s="41" t="str">
        <f>IF(Input!K33="","",Input!K33)</f>
        <v/>
      </c>
      <c r="F30" s="41" t="str">
        <f>IF(Input!L33="","",Input!L33)</f>
        <v/>
      </c>
      <c r="G30" s="42" t="str">
        <f>IF(Input!M33="","",Input!M33)</f>
        <v/>
      </c>
    </row>
    <row r="31" spans="1:15" x14ac:dyDescent="0.25">
      <c r="A31" s="10"/>
      <c r="C31" s="40" t="str">
        <f>IF(Input!I34="","",Input!I34)</f>
        <v/>
      </c>
      <c r="D31" s="41" t="str">
        <f>IF(Input!J34="","",Input!J34)</f>
        <v/>
      </c>
      <c r="E31" s="41" t="str">
        <f>IF(Input!K34="","",Input!K34)</f>
        <v/>
      </c>
      <c r="F31" s="41" t="str">
        <f>IF(Input!L34="","",Input!L34)</f>
        <v/>
      </c>
      <c r="G31" s="42" t="str">
        <f>IF(Input!M34="","",Input!M34)</f>
        <v/>
      </c>
      <c r="O31" s="46"/>
    </row>
    <row r="32" spans="1:15" x14ac:dyDescent="0.25">
      <c r="A32" s="10"/>
      <c r="C32" s="40" t="str">
        <f>IF(Input!I35="","",Input!I35)</f>
        <v/>
      </c>
      <c r="D32" s="41" t="str">
        <f>IF(Input!J35="","",Input!J35)</f>
        <v/>
      </c>
      <c r="E32" s="41" t="str">
        <f>IF(Input!K35="","",Input!K35)</f>
        <v/>
      </c>
      <c r="F32" s="41" t="str">
        <f>IF(Input!L35="","",Input!L35)</f>
        <v/>
      </c>
      <c r="G32" s="42" t="str">
        <f>IF(Input!M35="","",Input!M35)</f>
        <v/>
      </c>
    </row>
    <row r="33" spans="1:11" ht="15.75" thickBot="1" x14ac:dyDescent="0.3">
      <c r="A33" s="10"/>
      <c r="C33" s="47" t="s">
        <v>23</v>
      </c>
      <c r="D33" s="48">
        <f>SUM(D8:D32)</f>
        <v>665865</v>
      </c>
      <c r="E33" s="48">
        <f>SUM(E8:E32)</f>
        <v>691893</v>
      </c>
      <c r="F33" s="48">
        <f>SUM(F8:F32)</f>
        <v>881851</v>
      </c>
      <c r="G33" s="49" t="s">
        <v>24</v>
      </c>
      <c r="J33" s="44"/>
      <c r="K33" s="11"/>
    </row>
    <row r="34" spans="1:11" x14ac:dyDescent="0.25">
      <c r="A34" s="10"/>
      <c r="J34" s="44"/>
      <c r="K34" s="11"/>
    </row>
    <row r="35" spans="1:11" x14ac:dyDescent="0.25">
      <c r="A35" s="10"/>
      <c r="J35" s="44"/>
      <c r="K35" s="11"/>
    </row>
    <row r="36" spans="1:11" x14ac:dyDescent="0.25">
      <c r="A36" s="10"/>
      <c r="J36" s="44"/>
      <c r="K36" s="11"/>
    </row>
    <row r="37" spans="1:11" x14ac:dyDescent="0.25">
      <c r="A37" s="10"/>
      <c r="B37" t="s">
        <v>25</v>
      </c>
    </row>
    <row r="38" spans="1:11" ht="15.75" thickBot="1" x14ac:dyDescent="0.3">
      <c r="A38" s="10"/>
    </row>
    <row r="39" spans="1:11" ht="15.75" x14ac:dyDescent="0.25">
      <c r="A39" s="10"/>
      <c r="B39" s="50" t="s">
        <v>45</v>
      </c>
      <c r="C39" s="51" t="str">
        <f>study.label</f>
        <v>City</v>
      </c>
      <c r="D39" s="52" t="str">
        <f>variable</f>
        <v>Population</v>
      </c>
      <c r="E39" s="52" t="s">
        <v>21</v>
      </c>
      <c r="F39" s="52" t="str">
        <f>variable</f>
        <v>Population</v>
      </c>
      <c r="G39" s="53" t="s">
        <v>22</v>
      </c>
      <c r="H39" s="54"/>
    </row>
    <row r="40" spans="1:11" ht="15.75" x14ac:dyDescent="0.25">
      <c r="A40" s="10"/>
      <c r="B40" s="40"/>
      <c r="C40" s="55"/>
      <c r="D40" s="56" t="str">
        <f>launch</f>
        <v>2010</v>
      </c>
      <c r="E40" s="56" t="str">
        <f>launch</f>
        <v>2010</v>
      </c>
      <c r="F40" s="55" t="str">
        <f>target</f>
        <v>2040</v>
      </c>
      <c r="G40" s="57"/>
      <c r="H40" s="54"/>
    </row>
    <row r="41" spans="1:11" ht="15.75" x14ac:dyDescent="0.25">
      <c r="A41" s="10"/>
      <c r="B41" s="40" t="str">
        <f>"i"</f>
        <v>i</v>
      </c>
      <c r="C41" s="55"/>
      <c r="D41" s="58" t="str">
        <f>"xi^"&amp;launch</f>
        <v>xi^2010</v>
      </c>
      <c r="E41" s="58" t="str">
        <f>"si^"&amp;launch</f>
        <v>si^2010</v>
      </c>
      <c r="F41" s="58" t="str">
        <f>"xi^"&amp;target</f>
        <v>xi^2040</v>
      </c>
      <c r="G41" s="57" t="str">
        <f>"ri^"&amp;base&amp;","&amp;target</f>
        <v>ri^2000,2040</v>
      </c>
      <c r="H41" s="54"/>
    </row>
    <row r="42" spans="1:11" ht="15.75" x14ac:dyDescent="0.25">
      <c r="A42" s="10"/>
      <c r="B42" s="59" t="s">
        <v>0</v>
      </c>
      <c r="C42" s="60" t="s">
        <v>1</v>
      </c>
      <c r="D42" s="60" t="s">
        <v>2</v>
      </c>
      <c r="E42" s="60" t="s">
        <v>3</v>
      </c>
      <c r="F42" s="61" t="s">
        <v>4</v>
      </c>
      <c r="G42" s="62" t="s">
        <v>5</v>
      </c>
      <c r="H42" s="63"/>
    </row>
    <row r="43" spans="1:11" ht="15.75" x14ac:dyDescent="0.25">
      <c r="A43" s="10"/>
      <c r="B43" s="40">
        <v>1</v>
      </c>
      <c r="C43" s="64" t="str">
        <f>IF(Input!E11="","",Input!E11)</f>
        <v>Decatur</v>
      </c>
      <c r="D43" s="65">
        <f>IF(C43="","",Input!G11)</f>
        <v>19335</v>
      </c>
      <c r="E43" s="66">
        <f>IF(C43="","",IF(one.refer,ROUND(D43/X.launch,4),D43/E8))</f>
        <v>2.7900000000000001E-2</v>
      </c>
      <c r="F43" s="65">
        <f>IF(C43="","",IF(one.refer,X.target*E43,adjust*F8*E43))</f>
        <v>24603.642900000003</v>
      </c>
      <c r="G43" s="67">
        <f t="shared" ref="G43" si="0">IF(C43="","",ROUND(((F43-D43)/D43),3))</f>
        <v>0.27200000000000002</v>
      </c>
      <c r="H43" s="54"/>
    </row>
    <row r="44" spans="1:11" ht="15.75" x14ac:dyDescent="0.25">
      <c r="A44" s="10"/>
      <c r="B44" s="40">
        <v>2</v>
      </c>
      <c r="C44" s="64" t="str">
        <f>IF(Input!E12="","",Input!E12)</f>
        <v/>
      </c>
      <c r="D44" s="65" t="str">
        <f>IF(C44="","",Input!G12)</f>
        <v/>
      </c>
      <c r="E44" s="66" t="str">
        <f>IF(C44="","",IF(one.refer,ROUND(D44/X.launch,4),D44/E9))</f>
        <v/>
      </c>
      <c r="F44" s="65" t="str">
        <f>IF(C44="","",IF(one.refer,X.target*E44,adjust*F9*E44))</f>
        <v/>
      </c>
      <c r="G44" s="67" t="str">
        <f t="shared" ref="G44:G67" si="1">IF(C44="","",ROUND(((F44-D44)/D44),3))</f>
        <v/>
      </c>
      <c r="H44" s="54"/>
    </row>
    <row r="45" spans="1:11" ht="15.75" x14ac:dyDescent="0.25">
      <c r="A45" s="10"/>
      <c r="B45" s="40">
        <v>3</v>
      </c>
      <c r="C45" s="64" t="str">
        <f>IF(Input!E13="","",Input!E13)</f>
        <v/>
      </c>
      <c r="D45" s="65" t="str">
        <f>IF(C45="","",Input!G13)</f>
        <v/>
      </c>
      <c r="E45" s="66" t="str">
        <f>IF(C45="","",IF(one.refer,ROUND(D45/X.launch,4),D45/E10))</f>
        <v/>
      </c>
      <c r="F45" s="65" t="str">
        <f>IF(C45="","",IF(one.refer,X.target*E45,adjust*F10*E45))</f>
        <v/>
      </c>
      <c r="G45" s="67" t="str">
        <f t="shared" si="1"/>
        <v/>
      </c>
      <c r="H45" s="54"/>
    </row>
    <row r="46" spans="1:11" ht="15.75" x14ac:dyDescent="0.25">
      <c r="A46" s="10"/>
      <c r="B46" s="40">
        <v>4</v>
      </c>
      <c r="C46" s="64" t="str">
        <f>IF(Input!E14="","",Input!E14)</f>
        <v/>
      </c>
      <c r="D46" s="65" t="str">
        <f>IF(C46="","",Input!G14)</f>
        <v/>
      </c>
      <c r="E46" s="66" t="str">
        <f>IF(C46="","",IF(one.refer,ROUND(D46/X.launch,4),D46/E11))</f>
        <v/>
      </c>
      <c r="F46" s="65" t="str">
        <f>IF(C46="","",IF(one.refer,X.target*E46,adjust*F11*E46))</f>
        <v/>
      </c>
      <c r="G46" s="67" t="str">
        <f t="shared" si="1"/>
        <v/>
      </c>
      <c r="H46" s="54"/>
    </row>
    <row r="47" spans="1:11" ht="15.75" x14ac:dyDescent="0.25">
      <c r="A47" s="10"/>
      <c r="B47" s="40">
        <v>5</v>
      </c>
      <c r="C47" s="64" t="str">
        <f>IF(Input!E15="","",Input!E15)</f>
        <v/>
      </c>
      <c r="D47" s="65" t="str">
        <f>IF(C47="","",Input!G15)</f>
        <v/>
      </c>
      <c r="E47" s="66" t="str">
        <f>IF(C47="","",IF(one.refer,ROUND(D47/X.launch,4),D47/E12))</f>
        <v/>
      </c>
      <c r="F47" s="65" t="str">
        <f>IF(C47="","",IF(one.refer,X.target*E47,adjust*F12*E47))</f>
        <v/>
      </c>
      <c r="G47" s="67" t="str">
        <f t="shared" si="1"/>
        <v/>
      </c>
      <c r="H47" s="54"/>
    </row>
    <row r="48" spans="1:11" ht="15.75" x14ac:dyDescent="0.25">
      <c r="A48" s="10"/>
      <c r="B48" s="40">
        <v>6</v>
      </c>
      <c r="C48" s="64" t="str">
        <f>IF(Input!E16="","",Input!E16)</f>
        <v/>
      </c>
      <c r="D48" s="65" t="str">
        <f>IF(C48="","",Input!G16)</f>
        <v/>
      </c>
      <c r="E48" s="66" t="str">
        <f>IF(C48="","",IF(one.refer,ROUND(D48/X.launch,4),D48/#REF!))</f>
        <v/>
      </c>
      <c r="F48" s="65" t="str">
        <f>IF(C48="","",IF(one.refer,X.target*E48,adjust*#REF!*E48))</f>
        <v/>
      </c>
      <c r="G48" s="67" t="str">
        <f t="shared" si="1"/>
        <v/>
      </c>
      <c r="H48" s="54"/>
    </row>
    <row r="49" spans="1:8" ht="15.75" x14ac:dyDescent="0.25">
      <c r="A49" s="10"/>
      <c r="B49" s="40">
        <v>7</v>
      </c>
      <c r="C49" s="64" t="str">
        <f>IF(Input!E17="","",Input!E17)</f>
        <v/>
      </c>
      <c r="D49" s="65" t="str">
        <f>IF(C49="","",Input!G17)</f>
        <v/>
      </c>
      <c r="E49" s="66" t="str">
        <f t="shared" ref="E49:E67" si="2">IF(C49="","",IF(one.refer,ROUND(D49/X.launch,4),D49/E14))</f>
        <v/>
      </c>
      <c r="F49" s="65" t="str">
        <f t="shared" ref="F49:F67" si="3">IF(C49="","",IF(one.refer,X.target*E49,adjust*F14*E49))</f>
        <v/>
      </c>
      <c r="G49" s="67" t="str">
        <f t="shared" si="1"/>
        <v/>
      </c>
      <c r="H49" s="54"/>
    </row>
    <row r="50" spans="1:8" ht="15.75" x14ac:dyDescent="0.25">
      <c r="A50" s="10"/>
      <c r="B50" s="40">
        <v>8</v>
      </c>
      <c r="C50" s="64" t="str">
        <f>IF(Input!E18="","",Input!E18)</f>
        <v/>
      </c>
      <c r="D50" s="65" t="str">
        <f>IF(C50="","",Input!G18)</f>
        <v/>
      </c>
      <c r="E50" s="66" t="str">
        <f t="shared" si="2"/>
        <v/>
      </c>
      <c r="F50" s="65" t="str">
        <f t="shared" si="3"/>
        <v/>
      </c>
      <c r="G50" s="67" t="str">
        <f t="shared" si="1"/>
        <v/>
      </c>
      <c r="H50" s="54"/>
    </row>
    <row r="51" spans="1:8" ht="15.75" x14ac:dyDescent="0.25">
      <c r="A51" s="10"/>
      <c r="B51" s="40">
        <v>9</v>
      </c>
      <c r="C51" s="64" t="str">
        <f>IF(Input!E19="","",Input!E19)</f>
        <v/>
      </c>
      <c r="D51" s="65" t="str">
        <f>IF(C51="","",Input!G19)</f>
        <v/>
      </c>
      <c r="E51" s="66" t="str">
        <f t="shared" si="2"/>
        <v/>
      </c>
      <c r="F51" s="65" t="str">
        <f t="shared" si="3"/>
        <v/>
      </c>
      <c r="G51" s="67" t="str">
        <f t="shared" si="1"/>
        <v/>
      </c>
      <c r="H51" s="54"/>
    </row>
    <row r="52" spans="1:8" ht="15.75" x14ac:dyDescent="0.25">
      <c r="A52" s="10"/>
      <c r="B52" s="40">
        <v>10</v>
      </c>
      <c r="C52" s="64" t="str">
        <f>IF(Input!E20="","",Input!E20)</f>
        <v/>
      </c>
      <c r="D52" s="65" t="str">
        <f>IF(C52="","",Input!G20)</f>
        <v/>
      </c>
      <c r="E52" s="66" t="str">
        <f t="shared" si="2"/>
        <v/>
      </c>
      <c r="F52" s="65" t="str">
        <f t="shared" si="3"/>
        <v/>
      </c>
      <c r="G52" s="67" t="str">
        <f t="shared" si="1"/>
        <v/>
      </c>
      <c r="H52" s="54"/>
    </row>
    <row r="53" spans="1:8" ht="15.75" x14ac:dyDescent="0.25">
      <c r="A53" s="10"/>
      <c r="B53" s="40">
        <v>11</v>
      </c>
      <c r="C53" s="64" t="str">
        <f>IF(Input!E21="","",Input!E21)</f>
        <v/>
      </c>
      <c r="D53" s="65" t="str">
        <f>IF(C53="","",Input!G21)</f>
        <v/>
      </c>
      <c r="E53" s="66" t="str">
        <f t="shared" si="2"/>
        <v/>
      </c>
      <c r="F53" s="65" t="str">
        <f t="shared" si="3"/>
        <v/>
      </c>
      <c r="G53" s="67" t="str">
        <f t="shared" si="1"/>
        <v/>
      </c>
      <c r="H53" s="54"/>
    </row>
    <row r="54" spans="1:8" ht="15.75" x14ac:dyDescent="0.25">
      <c r="A54" s="10"/>
      <c r="B54" s="40">
        <v>12</v>
      </c>
      <c r="C54" s="64" t="str">
        <f>IF(Input!E22="","",Input!E22)</f>
        <v/>
      </c>
      <c r="D54" s="65" t="str">
        <f>IF(C54="","",Input!G22)</f>
        <v/>
      </c>
      <c r="E54" s="66" t="str">
        <f t="shared" si="2"/>
        <v/>
      </c>
      <c r="F54" s="65" t="str">
        <f t="shared" si="3"/>
        <v/>
      </c>
      <c r="G54" s="67" t="str">
        <f t="shared" si="1"/>
        <v/>
      </c>
      <c r="H54" s="54"/>
    </row>
    <row r="55" spans="1:8" ht="15.75" x14ac:dyDescent="0.25">
      <c r="A55" s="10"/>
      <c r="B55" s="40">
        <v>13</v>
      </c>
      <c r="C55" s="64" t="str">
        <f>IF(Input!E23="","",Input!E23)</f>
        <v/>
      </c>
      <c r="D55" s="65" t="str">
        <f>IF(C55="","",Input!G23)</f>
        <v/>
      </c>
      <c r="E55" s="66" t="str">
        <f t="shared" si="2"/>
        <v/>
      </c>
      <c r="F55" s="65" t="str">
        <f t="shared" si="3"/>
        <v/>
      </c>
      <c r="G55" s="67" t="str">
        <f t="shared" si="1"/>
        <v/>
      </c>
      <c r="H55" s="54"/>
    </row>
    <row r="56" spans="1:8" ht="15.75" x14ac:dyDescent="0.25">
      <c r="A56" s="10"/>
      <c r="B56" s="40">
        <v>14</v>
      </c>
      <c r="C56" s="64" t="str">
        <f>IF(Input!E24="","",Input!E24)</f>
        <v/>
      </c>
      <c r="D56" s="65" t="str">
        <f>IF(C56="","",Input!G24)</f>
        <v/>
      </c>
      <c r="E56" s="66" t="str">
        <f t="shared" si="2"/>
        <v/>
      </c>
      <c r="F56" s="65" t="str">
        <f t="shared" si="3"/>
        <v/>
      </c>
      <c r="G56" s="67" t="str">
        <f t="shared" si="1"/>
        <v/>
      </c>
      <c r="H56" s="54"/>
    </row>
    <row r="57" spans="1:8" ht="15.75" x14ac:dyDescent="0.25">
      <c r="A57" s="10"/>
      <c r="B57" s="40">
        <v>15</v>
      </c>
      <c r="C57" s="64" t="str">
        <f>IF(Input!E25="","",Input!E25)</f>
        <v/>
      </c>
      <c r="D57" s="65" t="str">
        <f>IF(C57="","",Input!G25)</f>
        <v/>
      </c>
      <c r="E57" s="66" t="str">
        <f t="shared" si="2"/>
        <v/>
      </c>
      <c r="F57" s="65" t="str">
        <f t="shared" si="3"/>
        <v/>
      </c>
      <c r="G57" s="67" t="str">
        <f t="shared" si="1"/>
        <v/>
      </c>
      <c r="H57" s="54"/>
    </row>
    <row r="58" spans="1:8" ht="15.75" x14ac:dyDescent="0.25">
      <c r="A58" s="10"/>
      <c r="B58" s="40">
        <v>16</v>
      </c>
      <c r="C58" s="64" t="str">
        <f>IF(Input!E26="","",Input!E26)</f>
        <v/>
      </c>
      <c r="D58" s="65" t="str">
        <f>IF(C58="","",Input!G26)</f>
        <v/>
      </c>
      <c r="E58" s="66" t="str">
        <f t="shared" si="2"/>
        <v/>
      </c>
      <c r="F58" s="65" t="str">
        <f t="shared" si="3"/>
        <v/>
      </c>
      <c r="G58" s="67" t="str">
        <f t="shared" si="1"/>
        <v/>
      </c>
      <c r="H58" s="54"/>
    </row>
    <row r="59" spans="1:8" ht="15.75" x14ac:dyDescent="0.25">
      <c r="A59" s="10"/>
      <c r="B59" s="40">
        <v>17</v>
      </c>
      <c r="C59" s="64" t="str">
        <f>IF(Input!E27="","",Input!E27)</f>
        <v/>
      </c>
      <c r="D59" s="65" t="str">
        <f>IF(C59="","",Input!G27)</f>
        <v/>
      </c>
      <c r="E59" s="66" t="str">
        <f t="shared" si="2"/>
        <v/>
      </c>
      <c r="F59" s="65" t="str">
        <f t="shared" si="3"/>
        <v/>
      </c>
      <c r="G59" s="67" t="str">
        <f t="shared" si="1"/>
        <v/>
      </c>
      <c r="H59" s="54"/>
    </row>
    <row r="60" spans="1:8" ht="15.75" x14ac:dyDescent="0.25">
      <c r="A60" s="10"/>
      <c r="B60" s="40">
        <v>18</v>
      </c>
      <c r="C60" s="64" t="str">
        <f>IF(Input!E28="","",Input!E28)</f>
        <v/>
      </c>
      <c r="D60" s="65" t="str">
        <f>IF(C60="","",Input!G28)</f>
        <v/>
      </c>
      <c r="E60" s="66" t="str">
        <f t="shared" si="2"/>
        <v/>
      </c>
      <c r="F60" s="65" t="str">
        <f t="shared" si="3"/>
        <v/>
      </c>
      <c r="G60" s="67" t="str">
        <f t="shared" si="1"/>
        <v/>
      </c>
      <c r="H60" s="54"/>
    </row>
    <row r="61" spans="1:8" ht="15.75" x14ac:dyDescent="0.25">
      <c r="A61" s="10"/>
      <c r="B61" s="40">
        <v>19</v>
      </c>
      <c r="C61" s="64" t="str">
        <f>IF(Input!E29="","",Input!E29)</f>
        <v/>
      </c>
      <c r="D61" s="65" t="str">
        <f>IF(C61="","",Input!G29)</f>
        <v/>
      </c>
      <c r="E61" s="66" t="str">
        <f t="shared" si="2"/>
        <v/>
      </c>
      <c r="F61" s="65" t="str">
        <f t="shared" si="3"/>
        <v/>
      </c>
      <c r="G61" s="67" t="str">
        <f t="shared" si="1"/>
        <v/>
      </c>
      <c r="H61" s="54"/>
    </row>
    <row r="62" spans="1:8" ht="15.75" x14ac:dyDescent="0.25">
      <c r="A62" s="10"/>
      <c r="B62" s="40">
        <v>20</v>
      </c>
      <c r="C62" s="64" t="str">
        <f>IF(Input!E30="","",Input!E30)</f>
        <v/>
      </c>
      <c r="D62" s="65" t="str">
        <f>IF(C62="","",Input!G30)</f>
        <v/>
      </c>
      <c r="E62" s="66" t="str">
        <f t="shared" si="2"/>
        <v/>
      </c>
      <c r="F62" s="65" t="str">
        <f t="shared" si="3"/>
        <v/>
      </c>
      <c r="G62" s="67" t="str">
        <f t="shared" si="1"/>
        <v/>
      </c>
      <c r="H62" s="54"/>
    </row>
    <row r="63" spans="1:8" ht="15.75" x14ac:dyDescent="0.25">
      <c r="A63" s="10"/>
      <c r="B63" s="40">
        <v>21</v>
      </c>
      <c r="C63" s="64" t="str">
        <f>IF(Input!E31="","",Input!E31)</f>
        <v/>
      </c>
      <c r="D63" s="65" t="str">
        <f>IF(C63="","",Input!G31)</f>
        <v/>
      </c>
      <c r="E63" s="66" t="str">
        <f t="shared" si="2"/>
        <v/>
      </c>
      <c r="F63" s="65" t="str">
        <f t="shared" si="3"/>
        <v/>
      </c>
      <c r="G63" s="67" t="str">
        <f t="shared" si="1"/>
        <v/>
      </c>
      <c r="H63" s="54"/>
    </row>
    <row r="64" spans="1:8" ht="15.75" x14ac:dyDescent="0.25">
      <c r="A64" s="10"/>
      <c r="B64" s="40">
        <v>22</v>
      </c>
      <c r="C64" s="64" t="str">
        <f>IF(Input!E32="","",Input!E32)</f>
        <v/>
      </c>
      <c r="D64" s="65" t="str">
        <f>IF(C64="","",Input!G32)</f>
        <v/>
      </c>
      <c r="E64" s="66" t="str">
        <f t="shared" si="2"/>
        <v/>
      </c>
      <c r="F64" s="65" t="str">
        <f t="shared" si="3"/>
        <v/>
      </c>
      <c r="G64" s="67" t="str">
        <f t="shared" si="1"/>
        <v/>
      </c>
      <c r="H64" s="54"/>
    </row>
    <row r="65" spans="1:8" ht="15.75" x14ac:dyDescent="0.25">
      <c r="A65" s="10"/>
      <c r="B65" s="40">
        <v>23</v>
      </c>
      <c r="C65" s="64" t="str">
        <f>IF(Input!E33="","",Input!E33)</f>
        <v/>
      </c>
      <c r="D65" s="65" t="str">
        <f>IF(C65="","",Input!G33)</f>
        <v/>
      </c>
      <c r="E65" s="66" t="str">
        <f t="shared" si="2"/>
        <v/>
      </c>
      <c r="F65" s="65" t="str">
        <f t="shared" si="3"/>
        <v/>
      </c>
      <c r="G65" s="67" t="str">
        <f t="shared" si="1"/>
        <v/>
      </c>
      <c r="H65" s="54"/>
    </row>
    <row r="66" spans="1:8" ht="15.75" x14ac:dyDescent="0.25">
      <c r="A66" s="10"/>
      <c r="B66" s="40">
        <v>24</v>
      </c>
      <c r="C66" s="64" t="str">
        <f>IF(Input!E34="","",Input!E34)</f>
        <v/>
      </c>
      <c r="D66" s="65" t="str">
        <f>IF(C66="","",Input!G34)</f>
        <v/>
      </c>
      <c r="E66" s="66" t="str">
        <f t="shared" si="2"/>
        <v/>
      </c>
      <c r="F66" s="65" t="str">
        <f t="shared" si="3"/>
        <v/>
      </c>
      <c r="G66" s="67" t="str">
        <f t="shared" si="1"/>
        <v/>
      </c>
      <c r="H66" s="54"/>
    </row>
    <row r="67" spans="1:8" ht="15.75" x14ac:dyDescent="0.25">
      <c r="A67" s="10"/>
      <c r="B67" s="40">
        <v>25</v>
      </c>
      <c r="C67" s="64" t="str">
        <f>IF(Input!E35="","",Input!E35)</f>
        <v/>
      </c>
      <c r="D67" s="65" t="str">
        <f>IF(C67="","",Input!G35)</f>
        <v/>
      </c>
      <c r="E67" s="66" t="str">
        <f t="shared" si="2"/>
        <v/>
      </c>
      <c r="F67" s="65" t="str">
        <f t="shared" si="3"/>
        <v/>
      </c>
      <c r="G67" s="67" t="str">
        <f t="shared" si="1"/>
        <v/>
      </c>
      <c r="H67" s="54"/>
    </row>
    <row r="68" spans="1:8" ht="16.5" thickBot="1" x14ac:dyDescent="0.3">
      <c r="A68" s="10"/>
      <c r="B68" s="68" t="s">
        <v>23</v>
      </c>
      <c r="C68" s="69" t="s">
        <v>24</v>
      </c>
      <c r="D68" s="70">
        <f>SUM(D43:D55)</f>
        <v>19335</v>
      </c>
      <c r="E68" s="71" t="s">
        <v>24</v>
      </c>
      <c r="F68" s="70">
        <f>SUM(F43:F55)</f>
        <v>24603.642900000003</v>
      </c>
      <c r="G68" s="72">
        <f t="shared" ref="G68" si="4">ROUND(((F68-D68)/D68),3)</f>
        <v>0.27200000000000002</v>
      </c>
      <c r="H68" s="54"/>
    </row>
    <row r="69" spans="1:8" ht="15.75" x14ac:dyDescent="0.25">
      <c r="A69" s="10"/>
      <c r="B69" s="54"/>
      <c r="C69" s="54"/>
      <c r="D69" s="54"/>
      <c r="E69" s="54"/>
      <c r="F69" s="54"/>
      <c r="G69" s="54"/>
      <c r="H69" s="54"/>
    </row>
    <row r="70" spans="1:8" ht="15.75" x14ac:dyDescent="0.25">
      <c r="A70" s="10"/>
      <c r="B70" s="44" t="str">
        <f>IF(one.refer," X^"&amp;launch&amp;" = "," X{1}^"&amp;launch)</f>
        <v xml:space="preserve"> X^2010 = </v>
      </c>
      <c r="C70" s="73">
        <f>IF(one.refer,X.launch,X.launch)</f>
        <v>691893</v>
      </c>
      <c r="D70" s="54"/>
      <c r="E70" s="54"/>
      <c r="F70" s="54"/>
      <c r="G70" s="54"/>
      <c r="H70" s="54"/>
    </row>
    <row r="71" spans="1:8" ht="15.75" x14ac:dyDescent="0.25">
      <c r="A71" s="10"/>
      <c r="B71" s="44" t="str">
        <f>IF(one.refer," X^"&amp;target&amp;" = ","X{1}^"&amp;target&amp;" =")</f>
        <v xml:space="preserve"> X^2040 = </v>
      </c>
      <c r="C71" s="73">
        <f>IF(one.refer,X.target,F8)</f>
        <v>881851</v>
      </c>
      <c r="D71" s="54"/>
      <c r="E71" s="54"/>
      <c r="F71" s="54"/>
      <c r="G71" s="54"/>
      <c r="H71" s="54"/>
    </row>
    <row r="72" spans="1:8" s="252" customFormat="1" x14ac:dyDescent="0.25">
      <c r="A72" s="249"/>
      <c r="B72" s="250" t="str">
        <f>IF(one.refer,"",IF(adjust=1,"","Adjustment = "))</f>
        <v/>
      </c>
      <c r="C72" s="251" t="str">
        <f>IF(one.refer,"",IF(adjust=1,"",adjust))</f>
        <v/>
      </c>
    </row>
    <row r="73" spans="1:8" s="252" customFormat="1" x14ac:dyDescent="0.25">
      <c r="A73" s="249"/>
    </row>
    <row r="74" spans="1:8" s="252" customFormat="1" x14ac:dyDescent="0.25">
      <c r="A74" s="249"/>
      <c r="B74" s="250" t="str">
        <f>"s{1}^"&amp;launch&amp;" = "</f>
        <v xml:space="preserve">s{1}^2010 = </v>
      </c>
      <c r="C74" s="252" t="str">
        <f>IF(one.refer,"x{1}^"&amp;launch&amp;" / X^"&amp;launch,"x{1}^"&amp;launch&amp;"/X{1}^"&amp;launch)</f>
        <v>x{1}^2010 / X^2010</v>
      </c>
    </row>
    <row r="75" spans="1:8" s="252" customFormat="1" x14ac:dyDescent="0.25">
      <c r="A75" s="249"/>
      <c r="B75" s="253" t="s">
        <v>46</v>
      </c>
      <c r="C75" s="251" t="str">
        <f>IF(one.refer,TEXT($D$43,"#,###")&amp;"/"&amp;TEXT($C$70,"#,###"),TEXT($D$43,"#,###")&amp;"/"&amp;TEXT($C$70,"#,###"))</f>
        <v>19,335/691,893</v>
      </c>
    </row>
    <row r="76" spans="1:8" s="252" customFormat="1" x14ac:dyDescent="0.25">
      <c r="A76" s="249"/>
      <c r="B76" s="253" t="s">
        <v>46</v>
      </c>
      <c r="C76" s="251">
        <f>IF(one.refer,ROUND($D$43/$C$70,4),$D$43/$C$70)</f>
        <v>2.7900000000000001E-2</v>
      </c>
    </row>
    <row r="77" spans="1:8" s="252" customFormat="1" x14ac:dyDescent="0.25">
      <c r="A77" s="249"/>
      <c r="C77" s="254"/>
    </row>
    <row r="78" spans="1:8" s="252" customFormat="1" x14ac:dyDescent="0.25">
      <c r="A78" s="249"/>
      <c r="B78" s="250" t="str">
        <f>x1.target</f>
        <v xml:space="preserve">x{1}^2040 = </v>
      </c>
      <c r="C78" s="252" t="str">
        <f>IF(one.refer,"(s{1}^"&amp;launch&amp;")(X^"&amp;target&amp;")",IF(adjust=1,"( s{1}^"&amp;launch&amp;" )( X{1}^"&amp;target&amp;" )","(Adustment )(s{1}^"&amp;launch&amp;")(X{1}^"&amp;target&amp;")"))</f>
        <v>(s{1}^2010)(X^2040)</v>
      </c>
    </row>
    <row r="79" spans="1:8" s="252" customFormat="1" x14ac:dyDescent="0.25">
      <c r="A79" s="249"/>
      <c r="B79" s="253" t="s">
        <v>46</v>
      </c>
      <c r="C79" s="255" t="str">
        <f>IF(one.refer,"("&amp;TEXT($C$76,"0.###0")&amp;")("&amp;TEXT($C$71,"#,###")&amp;")",IF(adjust&lt;&gt;1,"("&amp;TEXT(C72,"0.000#")&amp;" )("&amp;TEXT($C$76,"0.####")&amp;" )("&amp;TEXT($C$71,"0,###")&amp;")","("&amp;TEXT($C$76,"0.####")&amp;")("&amp;TEXT($F$8,"#,###")&amp;")"))</f>
        <v>(0.0279)(881,851)</v>
      </c>
    </row>
    <row r="80" spans="1:8" s="252" customFormat="1" x14ac:dyDescent="0.25">
      <c r="A80" s="249"/>
      <c r="B80" s="253" t="s">
        <v>46</v>
      </c>
      <c r="C80" s="255">
        <f>IF(one.refer,$C$76*$C$71,adjust*$C$76*$C$71)</f>
        <v>24603.642900000003</v>
      </c>
    </row>
    <row r="81" spans="1:9" s="252" customFormat="1" x14ac:dyDescent="0.25"/>
    <row r="82" spans="1:9" x14ac:dyDescent="0.25">
      <c r="A82" s="13"/>
      <c r="D82" s="73"/>
    </row>
    <row r="83" spans="1:9" ht="15.75" x14ac:dyDescent="0.25">
      <c r="A83" s="13"/>
      <c r="B83" s="54" t="s">
        <v>43</v>
      </c>
    </row>
    <row r="84" spans="1:9" ht="15.75" thickBot="1" x14ac:dyDescent="0.3"/>
    <row r="85" spans="1:9" ht="15.75" x14ac:dyDescent="0.25">
      <c r="B85" s="15" t="s">
        <v>45</v>
      </c>
      <c r="C85" s="74" t="str">
        <f>study.label</f>
        <v>City</v>
      </c>
      <c r="D85" s="51" t="str">
        <f>variable</f>
        <v>Population</v>
      </c>
      <c r="E85" s="51" t="s">
        <v>21</v>
      </c>
      <c r="F85" s="51" t="str">
        <f>variable</f>
        <v>Population</v>
      </c>
      <c r="G85" s="51" t="s">
        <v>21</v>
      </c>
      <c r="H85" s="53" t="s">
        <v>40</v>
      </c>
    </row>
    <row r="86" spans="1:9" ht="15.75" x14ac:dyDescent="0.25">
      <c r="B86" s="22"/>
      <c r="C86" s="75"/>
      <c r="D86" s="55">
        <f>base.year</f>
        <v>2000</v>
      </c>
      <c r="E86" s="55">
        <f>base.year</f>
        <v>2000</v>
      </c>
      <c r="F86" s="55">
        <f>launch.year</f>
        <v>2010</v>
      </c>
      <c r="G86" s="55">
        <f>launch.year</f>
        <v>2010</v>
      </c>
      <c r="H86" s="76" t="s">
        <v>41</v>
      </c>
    </row>
    <row r="87" spans="1:9" ht="15.75" x14ac:dyDescent="0.25">
      <c r="A87" s="77"/>
      <c r="B87" s="40" t="str">
        <f>"i"</f>
        <v>i</v>
      </c>
      <c r="C87" s="75"/>
      <c r="D87" s="58" t="str">
        <f>"xi^"&amp;base</f>
        <v>xi^2000</v>
      </c>
      <c r="E87" s="58" t="str">
        <f>"si^"&amp;base</f>
        <v>si^2000</v>
      </c>
      <c r="F87" s="58" t="str">
        <f>"xi^"&amp;launch</f>
        <v>xi^2010</v>
      </c>
      <c r="G87" s="55" t="str">
        <f>"si^"&amp;launch</f>
        <v>si^2010</v>
      </c>
      <c r="H87" s="57" t="str">
        <f>delta&amp;"si^"&amp;launch&amp;","&amp;target</f>
        <v>Δsi^2010,2040</v>
      </c>
    </row>
    <row r="88" spans="1:9" ht="15.75" x14ac:dyDescent="0.25">
      <c r="A88" s="77"/>
      <c r="B88" s="59" t="s">
        <v>0</v>
      </c>
      <c r="C88" s="61" t="s">
        <v>1</v>
      </c>
      <c r="D88" s="61" t="s">
        <v>2</v>
      </c>
      <c r="E88" s="61" t="s">
        <v>3</v>
      </c>
      <c r="F88" s="61" t="s">
        <v>4</v>
      </c>
      <c r="G88" s="78" t="s">
        <v>5</v>
      </c>
      <c r="H88" s="62" t="s">
        <v>6</v>
      </c>
      <c r="I88" s="79"/>
    </row>
    <row r="89" spans="1:9" ht="15.75" x14ac:dyDescent="0.25">
      <c r="B89" s="80">
        <v>1</v>
      </c>
      <c r="C89" s="64" t="str">
        <f>IF(Input!E11="","",Input!E11)</f>
        <v>Decatur</v>
      </c>
      <c r="D89" s="65">
        <f>IF(C89="","",Input!F11)</f>
        <v>18147</v>
      </c>
      <c r="E89" s="66">
        <f>IF(C89="","",IF(one.refer,ROUND(D89/X.base,4),D89/D8))</f>
        <v>2.7300000000000001E-2</v>
      </c>
      <c r="F89" s="65">
        <f>IF(C89="","",Input!G11)</f>
        <v>19335</v>
      </c>
      <c r="G89" s="66">
        <f>IF(C89="","",IF(one.refer,ROUND(F89/X.launch,4),F89/E8))</f>
        <v>2.7900000000000001E-2</v>
      </c>
      <c r="H89" s="81">
        <f t="shared" ref="H89" si="5">IF(C89="","",((target-launch)/(launch-base))*(G89-E89))</f>
        <v>1.7999999999999995E-3</v>
      </c>
    </row>
    <row r="90" spans="1:9" ht="15.75" x14ac:dyDescent="0.25">
      <c r="A90" s="13"/>
      <c r="B90" s="80">
        <v>2</v>
      </c>
      <c r="C90" s="64" t="str">
        <f>IF(Input!E12="","",Input!E12)</f>
        <v/>
      </c>
      <c r="D90" s="65" t="str">
        <f>IF(C90="","",Input!F12)</f>
        <v/>
      </c>
      <c r="E90" s="66" t="str">
        <f>IF(C90="","",IF(one.refer,ROUND(D90/X.base,4),D90/D9))</f>
        <v/>
      </c>
      <c r="F90" s="65" t="str">
        <f>IF(C90="","",Input!G12)</f>
        <v/>
      </c>
      <c r="G90" s="66" t="str">
        <f>IF(C90="","",IF(one.refer,ROUND(F90/X.launch,4),F90/E9))</f>
        <v/>
      </c>
      <c r="H90" s="81" t="str">
        <f t="shared" ref="H90:H113" si="6">IF(C90="","",((target-launch)/(launch-base))*(G90-E90))</f>
        <v/>
      </c>
    </row>
    <row r="91" spans="1:9" ht="15.75" x14ac:dyDescent="0.25">
      <c r="A91" s="13"/>
      <c r="B91" s="80">
        <v>3</v>
      </c>
      <c r="C91" s="64" t="str">
        <f>IF(Input!E13="","",Input!E13)</f>
        <v/>
      </c>
      <c r="D91" s="65" t="str">
        <f>IF(C91="","",Input!F13)</f>
        <v/>
      </c>
      <c r="E91" s="66" t="str">
        <f>IF(C91="","",IF(one.refer,ROUND(D91/X.base,4),D91/D10))</f>
        <v/>
      </c>
      <c r="F91" s="65" t="str">
        <f>IF(C91="","",Input!G13)</f>
        <v/>
      </c>
      <c r="G91" s="66" t="str">
        <f>IF(C91="","",IF(one.refer,ROUND(F91/X.launch,4),F91/E10))</f>
        <v/>
      </c>
      <c r="H91" s="81" t="str">
        <f t="shared" si="6"/>
        <v/>
      </c>
    </row>
    <row r="92" spans="1:9" ht="15.75" x14ac:dyDescent="0.25">
      <c r="A92" s="13"/>
      <c r="B92" s="80">
        <v>4</v>
      </c>
      <c r="C92" s="64" t="str">
        <f>IF(Input!E14="","",Input!E14)</f>
        <v/>
      </c>
      <c r="D92" s="65" t="str">
        <f>IF(C92="","",Input!F14)</f>
        <v/>
      </c>
      <c r="E92" s="66" t="str">
        <f>IF(C92="","",IF(one.refer,ROUND(D92/X.base,4),D92/D11))</f>
        <v/>
      </c>
      <c r="F92" s="65" t="str">
        <f>IF(C92="","",Input!G14)</f>
        <v/>
      </c>
      <c r="G92" s="66" t="str">
        <f>IF(C92="","",IF(one.refer,ROUND(F92/X.launch,4),F92/E11))</f>
        <v/>
      </c>
      <c r="H92" s="81" t="str">
        <f t="shared" si="6"/>
        <v/>
      </c>
    </row>
    <row r="93" spans="1:9" ht="15.75" x14ac:dyDescent="0.25">
      <c r="A93" s="13"/>
      <c r="B93" s="80">
        <v>5</v>
      </c>
      <c r="C93" s="64" t="str">
        <f>IF(Input!E15="","",Input!E15)</f>
        <v/>
      </c>
      <c r="D93" s="65" t="str">
        <f>IF(C93="","",Input!F15)</f>
        <v/>
      </c>
      <c r="E93" s="66" t="str">
        <f>IF(C93="","",IF(one.refer,ROUND(D93/X.base,4),D93/D12))</f>
        <v/>
      </c>
      <c r="F93" s="65" t="str">
        <f>IF(C93="","",Input!G15)</f>
        <v/>
      </c>
      <c r="G93" s="66" t="str">
        <f>IF(C93="","",IF(one.refer,ROUND(F93/X.launch,4),F93/E12))</f>
        <v/>
      </c>
      <c r="H93" s="81" t="str">
        <f t="shared" si="6"/>
        <v/>
      </c>
    </row>
    <row r="94" spans="1:9" ht="15.75" x14ac:dyDescent="0.25">
      <c r="A94" s="13"/>
      <c r="B94" s="80">
        <v>6</v>
      </c>
      <c r="C94" s="64" t="str">
        <f>IF(Input!E16="","",Input!E16)</f>
        <v/>
      </c>
      <c r="D94" s="65" t="str">
        <f>IF(C94="","",Input!F16)</f>
        <v/>
      </c>
      <c r="E94" s="66" t="str">
        <f>IF(C94="","",IF(one.refer,ROUND(D94/X.base,4),D94/#REF!))</f>
        <v/>
      </c>
      <c r="F94" s="65" t="str">
        <f>IF(C94="","",Input!G16)</f>
        <v/>
      </c>
      <c r="G94" s="66" t="str">
        <f>IF(C94="","",IF(one.refer,ROUND(F94/X.launch,4),F94/#REF!))</f>
        <v/>
      </c>
      <c r="H94" s="81" t="str">
        <f t="shared" si="6"/>
        <v/>
      </c>
    </row>
    <row r="95" spans="1:9" ht="15.75" x14ac:dyDescent="0.25">
      <c r="A95" s="13"/>
      <c r="B95" s="80">
        <v>7</v>
      </c>
      <c r="C95" s="64" t="str">
        <f>IF(Input!E17="","",Input!E17)</f>
        <v/>
      </c>
      <c r="D95" s="65" t="str">
        <f>IF(C95="","",Input!F17)</f>
        <v/>
      </c>
      <c r="E95" s="66" t="str">
        <f t="shared" ref="E95:E113" si="7">IF(C95="","",IF(one.refer,ROUND(D95/X.base,4),D95/D14))</f>
        <v/>
      </c>
      <c r="F95" s="65" t="str">
        <f>IF(C95="","",Input!G17)</f>
        <v/>
      </c>
      <c r="G95" s="66" t="str">
        <f t="shared" ref="G95:G113" si="8">IF(C95="","",IF(one.refer,ROUND(F95/X.launch,4),F95/E14))</f>
        <v/>
      </c>
      <c r="H95" s="81" t="str">
        <f t="shared" si="6"/>
        <v/>
      </c>
    </row>
    <row r="96" spans="1:9" ht="15.75" x14ac:dyDescent="0.25">
      <c r="A96" s="13"/>
      <c r="B96" s="80">
        <v>8</v>
      </c>
      <c r="C96" s="64" t="str">
        <f>IF(Input!E18="","",Input!E18)</f>
        <v/>
      </c>
      <c r="D96" s="65" t="str">
        <f>IF(C96="","",Input!F18)</f>
        <v/>
      </c>
      <c r="E96" s="66" t="str">
        <f t="shared" si="7"/>
        <v/>
      </c>
      <c r="F96" s="65" t="str">
        <f>IF(C96="","",Input!G18)</f>
        <v/>
      </c>
      <c r="G96" s="66" t="str">
        <f t="shared" si="8"/>
        <v/>
      </c>
      <c r="H96" s="81" t="str">
        <f t="shared" si="6"/>
        <v/>
      </c>
    </row>
    <row r="97" spans="1:8" ht="15.75" x14ac:dyDescent="0.25">
      <c r="A97" s="13"/>
      <c r="B97" s="80">
        <v>9</v>
      </c>
      <c r="C97" s="64" t="str">
        <f>IF(Input!E19="","",Input!E19)</f>
        <v/>
      </c>
      <c r="D97" s="65" t="str">
        <f>IF(C97="","",Input!F19)</f>
        <v/>
      </c>
      <c r="E97" s="66" t="str">
        <f t="shared" si="7"/>
        <v/>
      </c>
      <c r="F97" s="65" t="str">
        <f>IF(C97="","",Input!G19)</f>
        <v/>
      </c>
      <c r="G97" s="66" t="str">
        <f t="shared" si="8"/>
        <v/>
      </c>
      <c r="H97" s="81" t="str">
        <f t="shared" si="6"/>
        <v/>
      </c>
    </row>
    <row r="98" spans="1:8" ht="15.75" x14ac:dyDescent="0.25">
      <c r="A98" s="13"/>
      <c r="B98" s="80">
        <v>10</v>
      </c>
      <c r="C98" s="64" t="str">
        <f>IF(Input!E20="","",Input!E20)</f>
        <v/>
      </c>
      <c r="D98" s="65" t="str">
        <f>IF(C98="","",Input!F20)</f>
        <v/>
      </c>
      <c r="E98" s="66" t="str">
        <f t="shared" si="7"/>
        <v/>
      </c>
      <c r="F98" s="65" t="str">
        <f>IF(C98="","",Input!G20)</f>
        <v/>
      </c>
      <c r="G98" s="66" t="str">
        <f t="shared" si="8"/>
        <v/>
      </c>
      <c r="H98" s="81" t="str">
        <f t="shared" si="6"/>
        <v/>
      </c>
    </row>
    <row r="99" spans="1:8" ht="15.75" x14ac:dyDescent="0.25">
      <c r="A99" s="13"/>
      <c r="B99" s="80">
        <v>11</v>
      </c>
      <c r="C99" s="64" t="str">
        <f>IF(Input!E21="","",Input!E21)</f>
        <v/>
      </c>
      <c r="D99" s="65" t="str">
        <f>IF(C99="","",Input!F21)</f>
        <v/>
      </c>
      <c r="E99" s="66" t="str">
        <f t="shared" si="7"/>
        <v/>
      </c>
      <c r="F99" s="65" t="str">
        <f>IF(C99="","",Input!G21)</f>
        <v/>
      </c>
      <c r="G99" s="66" t="str">
        <f t="shared" si="8"/>
        <v/>
      </c>
      <c r="H99" s="81" t="str">
        <f t="shared" si="6"/>
        <v/>
      </c>
    </row>
    <row r="100" spans="1:8" ht="15.75" x14ac:dyDescent="0.25">
      <c r="A100" s="13"/>
      <c r="B100" s="80">
        <v>12</v>
      </c>
      <c r="C100" s="64" t="str">
        <f>IF(Input!E22="","",Input!E22)</f>
        <v/>
      </c>
      <c r="D100" s="65" t="str">
        <f>IF(C100="","",Input!F22)</f>
        <v/>
      </c>
      <c r="E100" s="66" t="str">
        <f t="shared" si="7"/>
        <v/>
      </c>
      <c r="F100" s="65" t="str">
        <f>IF(C100="","",Input!G22)</f>
        <v/>
      </c>
      <c r="G100" s="66" t="str">
        <f t="shared" si="8"/>
        <v/>
      </c>
      <c r="H100" s="81" t="str">
        <f t="shared" si="6"/>
        <v/>
      </c>
    </row>
    <row r="101" spans="1:8" ht="15.75" x14ac:dyDescent="0.25">
      <c r="A101" s="13"/>
      <c r="B101" s="80">
        <v>13</v>
      </c>
      <c r="C101" s="64" t="str">
        <f>IF(Input!E23="","",Input!E23)</f>
        <v/>
      </c>
      <c r="D101" s="65" t="str">
        <f>IF(C101="","",Input!F23)</f>
        <v/>
      </c>
      <c r="E101" s="66" t="str">
        <f t="shared" si="7"/>
        <v/>
      </c>
      <c r="F101" s="65" t="str">
        <f>IF(C101="","",Input!G23)</f>
        <v/>
      </c>
      <c r="G101" s="66" t="str">
        <f t="shared" si="8"/>
        <v/>
      </c>
      <c r="H101" s="81" t="str">
        <f t="shared" si="6"/>
        <v/>
      </c>
    </row>
    <row r="102" spans="1:8" ht="15.75" x14ac:dyDescent="0.25">
      <c r="A102" s="13"/>
      <c r="B102" s="80">
        <v>14</v>
      </c>
      <c r="C102" s="64" t="str">
        <f>IF(Input!E24="","",Input!E24)</f>
        <v/>
      </c>
      <c r="D102" s="65" t="str">
        <f>IF(C102="","",Input!F24)</f>
        <v/>
      </c>
      <c r="E102" s="66" t="str">
        <f t="shared" si="7"/>
        <v/>
      </c>
      <c r="F102" s="65" t="str">
        <f>IF(C102="","",Input!G24)</f>
        <v/>
      </c>
      <c r="G102" s="66" t="str">
        <f t="shared" si="8"/>
        <v/>
      </c>
      <c r="H102" s="81" t="str">
        <f t="shared" si="6"/>
        <v/>
      </c>
    </row>
    <row r="103" spans="1:8" ht="15.75" x14ac:dyDescent="0.25">
      <c r="A103" s="13"/>
      <c r="B103" s="80">
        <v>15</v>
      </c>
      <c r="C103" s="64" t="str">
        <f>IF(Input!E25="","",Input!E25)</f>
        <v/>
      </c>
      <c r="D103" s="65" t="str">
        <f>IF(C103="","",Input!F25)</f>
        <v/>
      </c>
      <c r="E103" s="66" t="str">
        <f t="shared" si="7"/>
        <v/>
      </c>
      <c r="F103" s="65" t="str">
        <f>IF(C103="","",Input!G25)</f>
        <v/>
      </c>
      <c r="G103" s="66" t="str">
        <f t="shared" si="8"/>
        <v/>
      </c>
      <c r="H103" s="81" t="str">
        <f t="shared" si="6"/>
        <v/>
      </c>
    </row>
    <row r="104" spans="1:8" ht="15.75" x14ac:dyDescent="0.25">
      <c r="A104" s="13"/>
      <c r="B104" s="80">
        <v>16</v>
      </c>
      <c r="C104" s="64" t="str">
        <f>IF(Input!E26="","",Input!E26)</f>
        <v/>
      </c>
      <c r="D104" s="65" t="str">
        <f>IF(C104="","",Input!F26)</f>
        <v/>
      </c>
      <c r="E104" s="66" t="str">
        <f t="shared" si="7"/>
        <v/>
      </c>
      <c r="F104" s="65" t="str">
        <f>IF(C104="","",Input!G26)</f>
        <v/>
      </c>
      <c r="G104" s="66" t="str">
        <f t="shared" si="8"/>
        <v/>
      </c>
      <c r="H104" s="81" t="str">
        <f t="shared" si="6"/>
        <v/>
      </c>
    </row>
    <row r="105" spans="1:8" ht="15.75" x14ac:dyDescent="0.25">
      <c r="A105" s="13"/>
      <c r="B105" s="80">
        <v>17</v>
      </c>
      <c r="C105" s="64" t="str">
        <f>IF(Input!E27="","",Input!E27)</f>
        <v/>
      </c>
      <c r="D105" s="65" t="str">
        <f>IF(C105="","",Input!F27)</f>
        <v/>
      </c>
      <c r="E105" s="66" t="str">
        <f t="shared" si="7"/>
        <v/>
      </c>
      <c r="F105" s="65" t="str">
        <f>IF(C105="","",Input!G27)</f>
        <v/>
      </c>
      <c r="G105" s="66" t="str">
        <f t="shared" si="8"/>
        <v/>
      </c>
      <c r="H105" s="81" t="str">
        <f t="shared" si="6"/>
        <v/>
      </c>
    </row>
    <row r="106" spans="1:8" ht="15.75" x14ac:dyDescent="0.25">
      <c r="A106" s="13"/>
      <c r="B106" s="80">
        <v>18</v>
      </c>
      <c r="C106" s="64" t="str">
        <f>IF(Input!E28="","",Input!E28)</f>
        <v/>
      </c>
      <c r="D106" s="65" t="str">
        <f>IF(C106="","",Input!F28)</f>
        <v/>
      </c>
      <c r="E106" s="66" t="str">
        <f t="shared" si="7"/>
        <v/>
      </c>
      <c r="F106" s="65" t="str">
        <f>IF(C106="","",Input!G28)</f>
        <v/>
      </c>
      <c r="G106" s="66" t="str">
        <f t="shared" si="8"/>
        <v/>
      </c>
      <c r="H106" s="81" t="str">
        <f t="shared" si="6"/>
        <v/>
      </c>
    </row>
    <row r="107" spans="1:8" ht="15.75" x14ac:dyDescent="0.25">
      <c r="A107" s="13"/>
      <c r="B107" s="80">
        <v>19</v>
      </c>
      <c r="C107" s="64" t="str">
        <f>IF(Input!E29="","",Input!E29)</f>
        <v/>
      </c>
      <c r="D107" s="65" t="str">
        <f>IF(C107="","",Input!F29)</f>
        <v/>
      </c>
      <c r="E107" s="66" t="str">
        <f t="shared" si="7"/>
        <v/>
      </c>
      <c r="F107" s="65" t="str">
        <f>IF(C107="","",Input!G29)</f>
        <v/>
      </c>
      <c r="G107" s="66" t="str">
        <f t="shared" si="8"/>
        <v/>
      </c>
      <c r="H107" s="81" t="str">
        <f t="shared" si="6"/>
        <v/>
      </c>
    </row>
    <row r="108" spans="1:8" ht="15.75" x14ac:dyDescent="0.25">
      <c r="A108" s="10"/>
      <c r="B108" s="80">
        <v>20</v>
      </c>
      <c r="C108" s="64" t="str">
        <f>IF(Input!E30="","",Input!E30)</f>
        <v/>
      </c>
      <c r="D108" s="65" t="str">
        <f>IF(C108="","",Input!F30)</f>
        <v/>
      </c>
      <c r="E108" s="66" t="str">
        <f t="shared" si="7"/>
        <v/>
      </c>
      <c r="F108" s="65" t="str">
        <f>IF(C108="","",Input!G30)</f>
        <v/>
      </c>
      <c r="G108" s="66" t="str">
        <f t="shared" si="8"/>
        <v/>
      </c>
      <c r="H108" s="81" t="str">
        <f t="shared" si="6"/>
        <v/>
      </c>
    </row>
    <row r="109" spans="1:8" ht="15.75" x14ac:dyDescent="0.25">
      <c r="A109" s="10"/>
      <c r="B109" s="80">
        <v>21</v>
      </c>
      <c r="C109" s="64" t="str">
        <f>IF(Input!E31="","",Input!E31)</f>
        <v/>
      </c>
      <c r="D109" s="65" t="str">
        <f>IF(C109="","",Input!F31)</f>
        <v/>
      </c>
      <c r="E109" s="66" t="str">
        <f t="shared" si="7"/>
        <v/>
      </c>
      <c r="F109" s="65" t="str">
        <f>IF(C109="","",Input!G31)</f>
        <v/>
      </c>
      <c r="G109" s="66" t="str">
        <f t="shared" si="8"/>
        <v/>
      </c>
      <c r="H109" s="81" t="str">
        <f t="shared" si="6"/>
        <v/>
      </c>
    </row>
    <row r="110" spans="1:8" ht="15.75" x14ac:dyDescent="0.25">
      <c r="A110" s="82"/>
      <c r="B110" s="80">
        <v>22</v>
      </c>
      <c r="C110" s="64" t="str">
        <f>IF(Input!E32="","",Input!E32)</f>
        <v/>
      </c>
      <c r="D110" s="65" t="str">
        <f>IF(C110="","",Input!F32)</f>
        <v/>
      </c>
      <c r="E110" s="66" t="str">
        <f t="shared" si="7"/>
        <v/>
      </c>
      <c r="F110" s="65" t="str">
        <f>IF(C110="","",Input!G32)</f>
        <v/>
      </c>
      <c r="G110" s="66" t="str">
        <f t="shared" si="8"/>
        <v/>
      </c>
      <c r="H110" s="81" t="str">
        <f t="shared" si="6"/>
        <v/>
      </c>
    </row>
    <row r="111" spans="1:8" ht="15.75" x14ac:dyDescent="0.25">
      <c r="A111" s="82"/>
      <c r="B111" s="80">
        <v>23</v>
      </c>
      <c r="C111" s="64" t="str">
        <f>IF(Input!E33="","",Input!E33)</f>
        <v/>
      </c>
      <c r="D111" s="65" t="str">
        <f>IF(C111="","",Input!F33)</f>
        <v/>
      </c>
      <c r="E111" s="66" t="str">
        <f t="shared" si="7"/>
        <v/>
      </c>
      <c r="F111" s="65" t="str">
        <f>IF(C111="","",Input!G33)</f>
        <v/>
      </c>
      <c r="G111" s="66" t="str">
        <f t="shared" si="8"/>
        <v/>
      </c>
      <c r="H111" s="81" t="str">
        <f t="shared" si="6"/>
        <v/>
      </c>
    </row>
    <row r="112" spans="1:8" ht="15.75" x14ac:dyDescent="0.25">
      <c r="A112" s="10"/>
      <c r="B112" s="80">
        <v>24</v>
      </c>
      <c r="C112" s="64" t="str">
        <f>IF(Input!E34="","",Input!E34)</f>
        <v/>
      </c>
      <c r="D112" s="65" t="str">
        <f>IF(C112="","",Input!F34)</f>
        <v/>
      </c>
      <c r="E112" s="66" t="str">
        <f t="shared" si="7"/>
        <v/>
      </c>
      <c r="F112" s="65" t="str">
        <f>IF(C112="","",Input!G34)</f>
        <v/>
      </c>
      <c r="G112" s="66" t="str">
        <f t="shared" si="8"/>
        <v/>
      </c>
      <c r="H112" s="81" t="str">
        <f t="shared" si="6"/>
        <v/>
      </c>
    </row>
    <row r="113" spans="1:9" ht="15.75" x14ac:dyDescent="0.25">
      <c r="A113" s="10"/>
      <c r="B113" s="80">
        <v>25</v>
      </c>
      <c r="C113" s="64" t="str">
        <f>IF(Input!E35="","",Input!E35)</f>
        <v/>
      </c>
      <c r="D113" s="65" t="str">
        <f>IF(C113="","",Input!F35)</f>
        <v/>
      </c>
      <c r="E113" s="66" t="str">
        <f t="shared" si="7"/>
        <v/>
      </c>
      <c r="F113" s="65" t="str">
        <f>IF(C113="","",Input!G35)</f>
        <v/>
      </c>
      <c r="G113" s="66" t="str">
        <f t="shared" si="8"/>
        <v/>
      </c>
      <c r="H113" s="83" t="str">
        <f t="shared" si="6"/>
        <v/>
      </c>
    </row>
    <row r="114" spans="1:9" ht="15.75" thickBot="1" x14ac:dyDescent="0.3">
      <c r="A114" s="10"/>
      <c r="B114" s="84" t="s">
        <v>23</v>
      </c>
      <c r="C114" s="85" t="s">
        <v>24</v>
      </c>
      <c r="D114" s="86">
        <f>SUM(D89:D101)</f>
        <v>18147</v>
      </c>
      <c r="E114" s="87" t="s">
        <v>24</v>
      </c>
      <c r="F114" s="86">
        <f>SUM(F89:F101)</f>
        <v>19335</v>
      </c>
      <c r="G114" s="88" t="s">
        <v>24</v>
      </c>
      <c r="H114" s="89" t="s">
        <v>24</v>
      </c>
      <c r="I114" s="90"/>
    </row>
    <row r="115" spans="1:9" x14ac:dyDescent="0.25">
      <c r="A115" s="10"/>
    </row>
    <row r="116" spans="1:9" x14ac:dyDescent="0.25">
      <c r="A116" s="10"/>
      <c r="C116" s="237" t="s">
        <v>8</v>
      </c>
      <c r="D116" s="236">
        <f>base.year</f>
        <v>2000</v>
      </c>
    </row>
    <row r="117" spans="1:9" x14ac:dyDescent="0.25">
      <c r="A117" s="10"/>
      <c r="C117" s="238" t="s">
        <v>9</v>
      </c>
      <c r="D117" s="236">
        <f>launch.year</f>
        <v>2010</v>
      </c>
    </row>
    <row r="118" spans="1:9" x14ac:dyDescent="0.25">
      <c r="A118" s="10"/>
      <c r="C118" s="239" t="s">
        <v>10</v>
      </c>
      <c r="D118" s="236">
        <f>target.year</f>
        <v>2040</v>
      </c>
    </row>
    <row r="119" spans="1:9" x14ac:dyDescent="0.25">
      <c r="A119" s="10"/>
      <c r="C119" s="91"/>
    </row>
    <row r="120" spans="1:9" ht="15.75" x14ac:dyDescent="0.25">
      <c r="A120" s="10"/>
      <c r="C120" s="92" t="str">
        <f>delta&amp;"s{1}^{"&amp;launch&amp;","&amp;target&amp;"} ="</f>
        <v>Δs{1}^{2010,2040} =</v>
      </c>
      <c r="D120" t="str">
        <f>"[ ("&amp;target&amp;" - "&amp;launch&amp;") / ("&amp;launch&amp;" - "&amp;base&amp;" )  ][ (s{1}^"&amp;launch&amp;" - s{1}^"&amp;base&amp;" ) ]"</f>
        <v>[ (2040 - 2010) / (2010 - 2000 )  ][ (s{1}^2010 - s{1}^2000 ) ]</v>
      </c>
    </row>
    <row r="121" spans="1:9" x14ac:dyDescent="0.25">
      <c r="A121" s="10"/>
      <c r="C121" s="44" t="s">
        <v>46</v>
      </c>
      <c r="D121" s="93" t="str">
        <f>"[ ( "&amp;TEXT($D$118,"####")&amp;"- "&amp;TEXT($D$117,"###")&amp;") ] / ("&amp;TEXT($D$117,"###")&amp;" - "&amp;TEXT($D$116,"###)")&amp;" ) ] [ "&amp;TEXT($G$89,"#0.###0")&amp;" - "&amp;TEXT($E$89,"#0.###0")&amp;" ]"</f>
        <v>[ ( 2040- 2010) ] / (2010 - 2000) ) ] [ 0.0279 - 0.0273 ]</v>
      </c>
    </row>
    <row r="122" spans="1:9" x14ac:dyDescent="0.25">
      <c r="A122" s="10"/>
      <c r="C122" s="44" t="s">
        <v>46</v>
      </c>
      <c r="D122" s="93">
        <f>(($D$118-$D$117)/($D$117-$D$116))*($G$89-$E$89)</f>
        <v>1.7999999999999995E-3</v>
      </c>
    </row>
    <row r="123" spans="1:9" x14ac:dyDescent="0.25">
      <c r="A123" s="10"/>
    </row>
    <row r="124" spans="1:9" x14ac:dyDescent="0.25">
      <c r="A124" s="10"/>
      <c r="B124" t="s">
        <v>44</v>
      </c>
    </row>
    <row r="125" spans="1:9" ht="15.75" thickBot="1" x14ac:dyDescent="0.3">
      <c r="A125" s="10"/>
    </row>
    <row r="126" spans="1:9" ht="15.75" x14ac:dyDescent="0.25">
      <c r="A126" s="10"/>
      <c r="B126" s="15" t="s">
        <v>45</v>
      </c>
      <c r="C126" s="74" t="str">
        <f>study.label</f>
        <v>City</v>
      </c>
      <c r="D126" s="51" t="str">
        <f>variable</f>
        <v>Population</v>
      </c>
      <c r="E126" s="74" t="s">
        <v>21</v>
      </c>
      <c r="F126" s="74" t="s">
        <v>42</v>
      </c>
      <c r="G126" s="94" t="str">
        <f>variable</f>
        <v>Population</v>
      </c>
      <c r="H126" s="53" t="s">
        <v>22</v>
      </c>
    </row>
    <row r="127" spans="1:9" ht="15.75" x14ac:dyDescent="0.25">
      <c r="A127" s="10"/>
      <c r="B127" s="22"/>
      <c r="C127" s="75"/>
      <c r="D127" s="55" t="str">
        <f>launch</f>
        <v>2010</v>
      </c>
      <c r="E127" s="75" t="str">
        <f>launch</f>
        <v>2010</v>
      </c>
      <c r="F127" s="75" t="s">
        <v>41</v>
      </c>
      <c r="G127" s="95" t="str">
        <f>target</f>
        <v>2040</v>
      </c>
      <c r="H127" s="57"/>
    </row>
    <row r="128" spans="1:9" ht="15.75" x14ac:dyDescent="0.25">
      <c r="A128" s="10"/>
      <c r="B128" s="40" t="str">
        <f>"i"</f>
        <v>i</v>
      </c>
      <c r="C128" s="75"/>
      <c r="D128" s="96" t="str">
        <f>"xi^"&amp;launch</f>
        <v>xi^2010</v>
      </c>
      <c r="E128" s="96" t="str">
        <f>"si^"&amp;launch</f>
        <v>si^2010</v>
      </c>
      <c r="F128" s="41" t="str">
        <f>delta&amp;"si^"&amp;launch&amp;","&amp;target</f>
        <v>Δsi^2010,2040</v>
      </c>
      <c r="G128" s="97" t="str">
        <f>"xi^"&amp;target</f>
        <v>xi^2040</v>
      </c>
      <c r="H128" s="57" t="str">
        <f>"ri^"&amp;base&amp;","&amp;target</f>
        <v>ri^2000,2040</v>
      </c>
    </row>
    <row r="129" spans="1:8" ht="15.75" x14ac:dyDescent="0.25">
      <c r="A129" s="10"/>
      <c r="B129" s="59" t="s">
        <v>0</v>
      </c>
      <c r="C129" s="61" t="s">
        <v>1</v>
      </c>
      <c r="D129" s="61" t="s">
        <v>2</v>
      </c>
      <c r="E129" s="61" t="s">
        <v>3</v>
      </c>
      <c r="F129" s="31" t="s">
        <v>4</v>
      </c>
      <c r="G129" s="78" t="s">
        <v>5</v>
      </c>
      <c r="H129" s="62" t="s">
        <v>6</v>
      </c>
    </row>
    <row r="130" spans="1:8" ht="15.75" x14ac:dyDescent="0.25">
      <c r="A130" s="10"/>
      <c r="B130" s="80">
        <v>1</v>
      </c>
      <c r="C130" s="64" t="str">
        <f>IF(Input!E11="","",Input!E11)</f>
        <v>Decatur</v>
      </c>
      <c r="D130" s="41">
        <f>IF(C130="","",Input!G11)</f>
        <v>19335</v>
      </c>
      <c r="E130" s="98">
        <f>IF(C130="","",IF(one.refer,ROUND(D130/X.launch,4),D130/E8))</f>
        <v>2.7900000000000001E-2</v>
      </c>
      <c r="F130" s="98">
        <f t="shared" ref="F130:F142" si="9">H89</f>
        <v>1.7999999999999995E-3</v>
      </c>
      <c r="G130" s="99">
        <f>IF(C130="","",IF(one.refer,ROUND(X.target*(E130+F130),0),adjust*F8*(E130+F130)))</f>
        <v>26191</v>
      </c>
      <c r="H130" s="67">
        <f t="shared" ref="H130" si="10">IF(D130="","",ROUND(((G130-D130)/D130),3))</f>
        <v>0.35499999999999998</v>
      </c>
    </row>
    <row r="131" spans="1:8" ht="15.75" x14ac:dyDescent="0.25">
      <c r="A131" s="10"/>
      <c r="B131" s="80">
        <v>2</v>
      </c>
      <c r="C131" s="64" t="str">
        <f>IF(Input!E12="","",Input!E12)</f>
        <v/>
      </c>
      <c r="D131" s="41" t="str">
        <f>IF(C131="","",Input!G12)</f>
        <v/>
      </c>
      <c r="E131" s="98" t="str">
        <f>IF(C131="","",IF(one.refer,ROUND(D131/X.launch,4),D131/E9))</f>
        <v/>
      </c>
      <c r="F131" s="98" t="str">
        <f t="shared" si="9"/>
        <v/>
      </c>
      <c r="G131" s="99" t="str">
        <f>IF(C131="","",IF(one.refer,ROUND(X.target*(E131+F131),0),adjust*F9*(E131+F131)))</f>
        <v/>
      </c>
      <c r="H131" s="67" t="str">
        <f t="shared" ref="H131:H155" si="11">IF(D131="","",ROUND(((G131-D131)/D131),3))</f>
        <v/>
      </c>
    </row>
    <row r="132" spans="1:8" ht="15.75" x14ac:dyDescent="0.25">
      <c r="A132" s="10"/>
      <c r="B132" s="80">
        <v>3</v>
      </c>
      <c r="C132" s="64" t="str">
        <f>IF(Input!E13="","",Input!E13)</f>
        <v/>
      </c>
      <c r="D132" s="41" t="str">
        <f>IF(C132="","",Input!G13)</f>
        <v/>
      </c>
      <c r="E132" s="98" t="str">
        <f>IF(C132="","",IF(one.refer,ROUND(D132/X.launch,4),D132/E10))</f>
        <v/>
      </c>
      <c r="F132" s="98" t="str">
        <f t="shared" si="9"/>
        <v/>
      </c>
      <c r="G132" s="99" t="str">
        <f>IF(C132="","",IF(one.refer,ROUND(X.target*(E132+F132),0),adjust*F10*(E132+F132)))</f>
        <v/>
      </c>
      <c r="H132" s="67" t="str">
        <f t="shared" si="11"/>
        <v/>
      </c>
    </row>
    <row r="133" spans="1:8" ht="15.75" x14ac:dyDescent="0.25">
      <c r="A133" s="10"/>
      <c r="B133" s="80">
        <v>4</v>
      </c>
      <c r="C133" s="64" t="str">
        <f>IF(Input!E14="","",Input!E14)</f>
        <v/>
      </c>
      <c r="D133" s="41" t="str">
        <f>IF(C133="","",Input!G14)</f>
        <v/>
      </c>
      <c r="E133" s="98" t="str">
        <f>IF(C133="","",IF(one.refer,ROUND(D133/X.launch,4),D133/E11))</f>
        <v/>
      </c>
      <c r="F133" s="98" t="str">
        <f t="shared" si="9"/>
        <v/>
      </c>
      <c r="G133" s="99" t="str">
        <f>IF(C133="","",IF(one.refer,ROUND(X.target*(E133+F133),0),adjust*F11*(E133+F133)))</f>
        <v/>
      </c>
      <c r="H133" s="67" t="str">
        <f t="shared" si="11"/>
        <v/>
      </c>
    </row>
    <row r="134" spans="1:8" ht="15.75" x14ac:dyDescent="0.25">
      <c r="A134" s="10"/>
      <c r="B134" s="80">
        <v>5</v>
      </c>
      <c r="C134" s="64" t="str">
        <f>IF(Input!E15="","",Input!E15)</f>
        <v/>
      </c>
      <c r="D134" s="41" t="str">
        <f>IF(C134="","",Input!G15)</f>
        <v/>
      </c>
      <c r="E134" s="98" t="str">
        <f>IF(C134="","",IF(one.refer,ROUND(D134/X.launch,4),D134/E12))</f>
        <v/>
      </c>
      <c r="F134" s="98" t="str">
        <f t="shared" si="9"/>
        <v/>
      </c>
      <c r="G134" s="99" t="str">
        <f>IF(C134="","",IF(one.refer,ROUND(X.target*(E134+F134),0),adjust*F12*(E134+F134)))</f>
        <v/>
      </c>
      <c r="H134" s="67" t="str">
        <f t="shared" si="11"/>
        <v/>
      </c>
    </row>
    <row r="135" spans="1:8" ht="15.75" x14ac:dyDescent="0.25">
      <c r="A135" s="10"/>
      <c r="B135" s="80">
        <v>6</v>
      </c>
      <c r="C135" s="64" t="str">
        <f>IF(Input!E16="","",Input!E16)</f>
        <v/>
      </c>
      <c r="D135" s="41" t="str">
        <f>IF(C135="","",Input!G16)</f>
        <v/>
      </c>
      <c r="E135" s="98" t="str">
        <f>IF(C135="","",IF(one.refer,ROUND(D135/X.launch,4),D135/#REF!))</f>
        <v/>
      </c>
      <c r="F135" s="98" t="str">
        <f t="shared" si="9"/>
        <v/>
      </c>
      <c r="G135" s="99" t="str">
        <f>IF(C135="","",IF(one.refer,ROUND(X.target*(E135+F135),0),adjust*#REF!*(E135+F135)))</f>
        <v/>
      </c>
      <c r="H135" s="67" t="str">
        <f t="shared" si="11"/>
        <v/>
      </c>
    </row>
    <row r="136" spans="1:8" ht="15.75" x14ac:dyDescent="0.25">
      <c r="A136" s="13"/>
      <c r="B136" s="80">
        <v>7</v>
      </c>
      <c r="C136" s="64" t="str">
        <f>IF(Input!E17="","",Input!E17)</f>
        <v/>
      </c>
      <c r="D136" s="41" t="str">
        <f>IF(C136="","",Input!G17)</f>
        <v/>
      </c>
      <c r="E136" s="98" t="str">
        <f t="shared" ref="E136:E154" si="12">IF(C136="","",IF(one.refer,ROUND(D136/X.launch,4),D136/E14))</f>
        <v/>
      </c>
      <c r="F136" s="98" t="str">
        <f t="shared" si="9"/>
        <v/>
      </c>
      <c r="G136" s="99" t="str">
        <f t="shared" ref="G136:G154" si="13">IF(C136="","",IF(one.refer,ROUND(X.target*(E136+F136),0),adjust*F14*(E136+F136)))</f>
        <v/>
      </c>
      <c r="H136" s="67" t="str">
        <f t="shared" si="11"/>
        <v/>
      </c>
    </row>
    <row r="137" spans="1:8" ht="15.75" x14ac:dyDescent="0.25">
      <c r="B137" s="80">
        <v>8</v>
      </c>
      <c r="C137" s="64" t="str">
        <f>IF(Input!E18="","",Input!E18)</f>
        <v/>
      </c>
      <c r="D137" s="41" t="str">
        <f>IF(C137="","",Input!G18)</f>
        <v/>
      </c>
      <c r="E137" s="98" t="str">
        <f t="shared" si="12"/>
        <v/>
      </c>
      <c r="F137" s="98" t="str">
        <f t="shared" si="9"/>
        <v/>
      </c>
      <c r="G137" s="99" t="str">
        <f t="shared" si="13"/>
        <v/>
      </c>
      <c r="H137" s="67" t="str">
        <f t="shared" si="11"/>
        <v/>
      </c>
    </row>
    <row r="138" spans="1:8" ht="15.75" x14ac:dyDescent="0.25">
      <c r="A138" s="44"/>
      <c r="B138" s="80">
        <v>9</v>
      </c>
      <c r="C138" s="64" t="str">
        <f>IF(Input!E19="","",Input!E19)</f>
        <v/>
      </c>
      <c r="D138" s="41" t="str">
        <f>IF(C138="","",Input!G19)</f>
        <v/>
      </c>
      <c r="E138" s="98" t="str">
        <f t="shared" si="12"/>
        <v/>
      </c>
      <c r="F138" s="98" t="str">
        <f t="shared" si="9"/>
        <v/>
      </c>
      <c r="G138" s="99" t="str">
        <f t="shared" si="13"/>
        <v/>
      </c>
      <c r="H138" s="67" t="str">
        <f t="shared" si="11"/>
        <v/>
      </c>
    </row>
    <row r="139" spans="1:8" ht="15.75" x14ac:dyDescent="0.25">
      <c r="B139" s="80">
        <v>10</v>
      </c>
      <c r="C139" s="64" t="str">
        <f>IF(Input!E20="","",Input!E20)</f>
        <v/>
      </c>
      <c r="D139" s="41" t="str">
        <f>IF(C139="","",Input!G20)</f>
        <v/>
      </c>
      <c r="E139" s="98" t="str">
        <f t="shared" si="12"/>
        <v/>
      </c>
      <c r="F139" s="98" t="str">
        <f t="shared" si="9"/>
        <v/>
      </c>
      <c r="G139" s="99" t="str">
        <f t="shared" si="13"/>
        <v/>
      </c>
      <c r="H139" s="67" t="str">
        <f t="shared" si="11"/>
        <v/>
      </c>
    </row>
    <row r="140" spans="1:8" ht="15.75" x14ac:dyDescent="0.25">
      <c r="A140" s="44"/>
      <c r="B140" s="80">
        <v>11</v>
      </c>
      <c r="C140" s="64" t="str">
        <f>IF(Input!E21="","",Input!E21)</f>
        <v/>
      </c>
      <c r="D140" s="41" t="str">
        <f>IF(C140="","",Input!G21)</f>
        <v/>
      </c>
      <c r="E140" s="98" t="str">
        <f t="shared" si="12"/>
        <v/>
      </c>
      <c r="F140" s="98" t="str">
        <f t="shared" si="9"/>
        <v/>
      </c>
      <c r="G140" s="99" t="str">
        <f t="shared" si="13"/>
        <v/>
      </c>
      <c r="H140" s="67" t="str">
        <f t="shared" si="11"/>
        <v/>
      </c>
    </row>
    <row r="141" spans="1:8" ht="15.75" x14ac:dyDescent="0.25">
      <c r="A141" s="100"/>
      <c r="B141" s="80">
        <v>12</v>
      </c>
      <c r="C141" s="64" t="str">
        <f>IF(Input!E22="","",Input!E22)</f>
        <v/>
      </c>
      <c r="D141" s="41" t="str">
        <f>IF(C141="","",Input!G22)</f>
        <v/>
      </c>
      <c r="E141" s="98" t="str">
        <f t="shared" si="12"/>
        <v/>
      </c>
      <c r="F141" s="98" t="str">
        <f t="shared" si="9"/>
        <v/>
      </c>
      <c r="G141" s="99" t="str">
        <f t="shared" si="13"/>
        <v/>
      </c>
      <c r="H141" s="67" t="str">
        <f t="shared" si="11"/>
        <v/>
      </c>
    </row>
    <row r="142" spans="1:8" ht="15.75" x14ac:dyDescent="0.25">
      <c r="A142" s="100"/>
      <c r="B142" s="80">
        <v>13</v>
      </c>
      <c r="C142" s="64" t="str">
        <f>IF(Input!E23="","",Input!E23)</f>
        <v/>
      </c>
      <c r="D142" s="41" t="str">
        <f>IF(C142="","",Input!G23)</f>
        <v/>
      </c>
      <c r="E142" s="98" t="str">
        <f t="shared" si="12"/>
        <v/>
      </c>
      <c r="F142" s="98" t="str">
        <f t="shared" si="9"/>
        <v/>
      </c>
      <c r="G142" s="99" t="str">
        <f t="shared" si="13"/>
        <v/>
      </c>
      <c r="H142" s="67" t="str">
        <f t="shared" si="11"/>
        <v/>
      </c>
    </row>
    <row r="143" spans="1:8" ht="15.75" x14ac:dyDescent="0.25">
      <c r="A143" s="100"/>
      <c r="B143" s="80">
        <v>14</v>
      </c>
      <c r="C143" s="64" t="str">
        <f>IF(Input!E24="","",Input!E24)</f>
        <v/>
      </c>
      <c r="D143" s="41" t="str">
        <f>IF(C143="","",Input!G24)</f>
        <v/>
      </c>
      <c r="E143" s="98" t="str">
        <f t="shared" si="12"/>
        <v/>
      </c>
      <c r="F143" s="98"/>
      <c r="G143" s="99" t="str">
        <f t="shared" si="13"/>
        <v/>
      </c>
      <c r="H143" s="67" t="str">
        <f t="shared" si="11"/>
        <v/>
      </c>
    </row>
    <row r="144" spans="1:8" ht="15.75" x14ac:dyDescent="0.25">
      <c r="A144" s="100"/>
      <c r="B144" s="80">
        <v>15</v>
      </c>
      <c r="C144" s="64" t="str">
        <f>IF(Input!E25="","",Input!E25)</f>
        <v/>
      </c>
      <c r="D144" s="41" t="str">
        <f>IF(C144="","",Input!G25)</f>
        <v/>
      </c>
      <c r="E144" s="98" t="str">
        <f t="shared" si="12"/>
        <v/>
      </c>
      <c r="F144" s="98"/>
      <c r="G144" s="99" t="str">
        <f t="shared" si="13"/>
        <v/>
      </c>
      <c r="H144" s="67" t="str">
        <f t="shared" si="11"/>
        <v/>
      </c>
    </row>
    <row r="145" spans="1:10" ht="15.75" x14ac:dyDescent="0.25">
      <c r="A145" s="100"/>
      <c r="B145" s="80">
        <v>16</v>
      </c>
      <c r="C145" s="64" t="str">
        <f>IF(Input!E26="","",Input!E26)</f>
        <v/>
      </c>
      <c r="D145" s="41" t="str">
        <f>IF(C145="","",Input!G26)</f>
        <v/>
      </c>
      <c r="E145" s="98" t="str">
        <f t="shared" si="12"/>
        <v/>
      </c>
      <c r="F145" s="98"/>
      <c r="G145" s="99" t="str">
        <f t="shared" si="13"/>
        <v/>
      </c>
      <c r="H145" s="67" t="str">
        <f t="shared" si="11"/>
        <v/>
      </c>
    </row>
    <row r="146" spans="1:10" ht="15.75" x14ac:dyDescent="0.25">
      <c r="A146" s="100"/>
      <c r="B146" s="80">
        <v>17</v>
      </c>
      <c r="C146" s="64" t="str">
        <f>IF(Input!E27="","",Input!E27)</f>
        <v/>
      </c>
      <c r="D146" s="41" t="str">
        <f>IF(C146="","",Input!G27)</f>
        <v/>
      </c>
      <c r="E146" s="98" t="str">
        <f t="shared" si="12"/>
        <v/>
      </c>
      <c r="F146" s="98"/>
      <c r="G146" s="99" t="str">
        <f t="shared" si="13"/>
        <v/>
      </c>
      <c r="H146" s="67" t="str">
        <f t="shared" si="11"/>
        <v/>
      </c>
    </row>
    <row r="147" spans="1:10" ht="15.75" x14ac:dyDescent="0.25">
      <c r="A147" s="100"/>
      <c r="B147" s="80">
        <v>18</v>
      </c>
      <c r="C147" s="64" t="str">
        <f>IF(Input!E28="","",Input!E28)</f>
        <v/>
      </c>
      <c r="D147" s="41" t="str">
        <f>IF(C147="","",Input!G28)</f>
        <v/>
      </c>
      <c r="E147" s="98" t="str">
        <f t="shared" si="12"/>
        <v/>
      </c>
      <c r="F147" s="98"/>
      <c r="G147" s="99" t="str">
        <f t="shared" si="13"/>
        <v/>
      </c>
      <c r="H147" s="67" t="str">
        <f t="shared" si="11"/>
        <v/>
      </c>
    </row>
    <row r="148" spans="1:10" ht="15.75" x14ac:dyDescent="0.25">
      <c r="A148" s="100"/>
      <c r="B148" s="80">
        <v>19</v>
      </c>
      <c r="C148" s="64" t="str">
        <f>IF(Input!E29="","",Input!E29)</f>
        <v/>
      </c>
      <c r="D148" s="41" t="str">
        <f>IF(C148="","",Input!G29)</f>
        <v/>
      </c>
      <c r="E148" s="98" t="str">
        <f t="shared" si="12"/>
        <v/>
      </c>
      <c r="F148" s="98"/>
      <c r="G148" s="99" t="str">
        <f t="shared" si="13"/>
        <v/>
      </c>
      <c r="H148" s="67" t="str">
        <f t="shared" si="11"/>
        <v/>
      </c>
    </row>
    <row r="149" spans="1:10" ht="15.75" x14ac:dyDescent="0.25">
      <c r="B149" s="80">
        <v>20</v>
      </c>
      <c r="C149" s="64" t="str">
        <f>IF(Input!E30="","",Input!E30)</f>
        <v/>
      </c>
      <c r="D149" s="41" t="str">
        <f>IF(C149="","",Input!G30)</f>
        <v/>
      </c>
      <c r="E149" s="98" t="str">
        <f t="shared" si="12"/>
        <v/>
      </c>
      <c r="F149" s="98"/>
      <c r="G149" s="99" t="str">
        <f t="shared" si="13"/>
        <v/>
      </c>
      <c r="H149" s="67" t="str">
        <f t="shared" si="11"/>
        <v/>
      </c>
    </row>
    <row r="150" spans="1:10" ht="15.75" x14ac:dyDescent="0.25">
      <c r="B150" s="80">
        <v>21</v>
      </c>
      <c r="C150" s="64" t="str">
        <f>IF(Input!E31="","",Input!E31)</f>
        <v/>
      </c>
      <c r="D150" s="41" t="str">
        <f>IF(C150="","",Input!G31)</f>
        <v/>
      </c>
      <c r="E150" s="98" t="str">
        <f t="shared" si="12"/>
        <v/>
      </c>
      <c r="F150" s="98"/>
      <c r="G150" s="99" t="str">
        <f t="shared" si="13"/>
        <v/>
      </c>
      <c r="H150" s="67" t="str">
        <f t="shared" si="11"/>
        <v/>
      </c>
    </row>
    <row r="151" spans="1:10" ht="15.75" x14ac:dyDescent="0.25">
      <c r="B151" s="80">
        <v>22</v>
      </c>
      <c r="C151" s="64" t="str">
        <f>IF(Input!E32="","",Input!E32)</f>
        <v/>
      </c>
      <c r="D151" s="41" t="str">
        <f>IF(C151="","",Input!G32)</f>
        <v/>
      </c>
      <c r="E151" s="98" t="str">
        <f t="shared" si="12"/>
        <v/>
      </c>
      <c r="F151" s="98"/>
      <c r="G151" s="99" t="str">
        <f t="shared" si="13"/>
        <v/>
      </c>
      <c r="H151" s="67" t="str">
        <f t="shared" si="11"/>
        <v/>
      </c>
    </row>
    <row r="152" spans="1:10" ht="15.75" x14ac:dyDescent="0.25">
      <c r="B152" s="80">
        <v>23</v>
      </c>
      <c r="C152" s="64" t="str">
        <f>IF(Input!E33="","",Input!E33)</f>
        <v/>
      </c>
      <c r="D152" s="41" t="str">
        <f>IF(C152="","",Input!G33)</f>
        <v/>
      </c>
      <c r="E152" s="98" t="str">
        <f t="shared" si="12"/>
        <v/>
      </c>
      <c r="F152" s="98"/>
      <c r="G152" s="99" t="str">
        <f t="shared" si="13"/>
        <v/>
      </c>
      <c r="H152" s="67" t="str">
        <f t="shared" si="11"/>
        <v/>
      </c>
    </row>
    <row r="153" spans="1:10" ht="15.75" x14ac:dyDescent="0.25">
      <c r="B153" s="80">
        <v>24</v>
      </c>
      <c r="C153" s="64" t="str">
        <f>IF(Input!E34="","",Input!E34)</f>
        <v/>
      </c>
      <c r="D153" s="41" t="str">
        <f>IF(C153="","",Input!G34)</f>
        <v/>
      </c>
      <c r="E153" s="98" t="str">
        <f t="shared" si="12"/>
        <v/>
      </c>
      <c r="F153" s="98"/>
      <c r="G153" s="99" t="str">
        <f t="shared" si="13"/>
        <v/>
      </c>
      <c r="H153" s="67" t="str">
        <f t="shared" si="11"/>
        <v/>
      </c>
    </row>
    <row r="154" spans="1:10" ht="15.75" x14ac:dyDescent="0.25">
      <c r="B154" s="80">
        <v>25</v>
      </c>
      <c r="C154" s="64" t="str">
        <f>IF(Input!E35="","",Input!E35)</f>
        <v/>
      </c>
      <c r="D154" s="41" t="str">
        <f>IF(C154="","",Input!G35)</f>
        <v/>
      </c>
      <c r="E154" s="98" t="str">
        <f t="shared" si="12"/>
        <v/>
      </c>
      <c r="F154" s="98"/>
      <c r="G154" s="99" t="str">
        <f t="shared" si="13"/>
        <v/>
      </c>
      <c r="H154" s="67" t="str">
        <f t="shared" si="11"/>
        <v/>
      </c>
    </row>
    <row r="155" spans="1:10" ht="16.5" thickBot="1" x14ac:dyDescent="0.3">
      <c r="A155" s="44"/>
      <c r="B155" s="84" t="s">
        <v>23</v>
      </c>
      <c r="C155" s="85" t="s">
        <v>24</v>
      </c>
      <c r="D155" s="86">
        <f>SUM(D130:D142)</f>
        <v>19335</v>
      </c>
      <c r="E155" s="87" t="s">
        <v>24</v>
      </c>
      <c r="F155" s="87" t="s">
        <v>24</v>
      </c>
      <c r="G155" s="101">
        <f>SUM(G130:G142)</f>
        <v>26191</v>
      </c>
      <c r="H155" s="72">
        <f t="shared" si="11"/>
        <v>0.35499999999999998</v>
      </c>
    </row>
    <row r="156" spans="1:10" ht="15.75" x14ac:dyDescent="0.25">
      <c r="A156" s="44"/>
      <c r="B156" s="240"/>
      <c r="C156" s="240"/>
      <c r="D156" s="241"/>
      <c r="E156" s="242"/>
      <c r="F156" s="242"/>
      <c r="G156" s="241"/>
      <c r="H156" s="243"/>
    </row>
    <row r="157" spans="1:10" x14ac:dyDescent="0.25">
      <c r="A157" s="100"/>
      <c r="C157" s="44" t="str">
        <f>IF(one.refer," X^"&amp;target&amp;" = ","X{1)"&amp;target&amp;" = ")</f>
        <v xml:space="preserve"> X^2040 = </v>
      </c>
      <c r="D157" s="73">
        <f>IF(one.refer,X.target,F8)</f>
        <v>881851</v>
      </c>
      <c r="J157" s="90"/>
    </row>
    <row r="158" spans="1:10" x14ac:dyDescent="0.25">
      <c r="A158" s="100"/>
      <c r="C158" s="44"/>
      <c r="D158" s="73"/>
      <c r="J158" s="90"/>
    </row>
    <row r="159" spans="1:10" x14ac:dyDescent="0.25">
      <c r="A159" s="100"/>
      <c r="C159" s="44" t="str">
        <f>IF(one.refer,"",IF(adjust=1,"","Adjustment = "))</f>
        <v/>
      </c>
      <c r="D159" s="93" t="str">
        <f>IF(one.refer,"",IF(adjust=1,"",adjust))</f>
        <v/>
      </c>
    </row>
    <row r="160" spans="1:10" x14ac:dyDescent="0.25">
      <c r="B160" s="102"/>
    </row>
    <row r="161" spans="2:15" x14ac:dyDescent="0.25">
      <c r="C161" s="44" t="str">
        <f>x1.target</f>
        <v xml:space="preserve">x{1}^2040 = </v>
      </c>
      <c r="D161" t="str">
        <f>IF(one.refer,"( s{1}^"&amp;launch&amp;" + "&amp;delta&amp;"s{1}^{"&amp;launch&amp;"-"&amp;target&amp;"} )( X^"&amp;target&amp;" )",IF(adjust=1,"s{1}^"&amp;launch&amp;" + ("&amp;delta&amp;"s{1}^{"&amp;launch&amp;"-"&amp;target&amp;"} )(X{1}^"&amp;target&amp;" )","[Adjustment]([(s{1}^"&amp;launch&amp;" + "&amp;delta&amp;"s{1}^{"&amp;launch&amp;"-"&amp;target&amp;"})(X{1}^"&amp;target&amp;"]"))</f>
        <v>( s{1}^2010 + Δs{1}^{2010-2040} )( X^2040 )</v>
      </c>
      <c r="G161" s="256"/>
    </row>
    <row r="162" spans="2:15" x14ac:dyDescent="0.25">
      <c r="C162" s="103" t="s">
        <v>46</v>
      </c>
      <c r="D162" s="73" t="str">
        <f>IF(one.refer,"("&amp;TEXT($E$130,"0.,###0")&amp;" + "&amp;TEXT($F$130,"0.###0")&amp;")("&amp;TEXT($D$157,"#,###")&amp;")",IF(adjust=1,"["&amp;TEXT($E$130,"0.###0")&amp;" + ("&amp;TEXT($F$130,"0.###0")&amp;")("&amp;TEXT($F$8,"#,###")&amp;")","["&amp;TEXT($D$159,"#.####")&amp;"]["&amp;TEXT($E$130,"0.####")&amp;" + ("&amp;TEXT($F$130,"0.####")&amp;")("&amp;TEXT($F$8,"#,###")&amp;") ]"))</f>
        <v>(0.0279 + 0.0018)(881,851)</v>
      </c>
      <c r="F162" s="256"/>
    </row>
    <row r="163" spans="2:15" x14ac:dyDescent="0.25">
      <c r="C163" s="103" t="s">
        <v>46</v>
      </c>
      <c r="D163" s="73">
        <f>IF(one.refer,($E$130+$F$130)*D157,IF(adjust=1,($E$130+$F$130)*$F$8,$D$159*($E$130+$F$130)*$F$8))</f>
        <v>26190.974699999999</v>
      </c>
    </row>
    <row r="164" spans="2:15" x14ac:dyDescent="0.25">
      <c r="C164" s="103"/>
      <c r="D164" s="73"/>
    </row>
    <row r="166" spans="2:15" x14ac:dyDescent="0.25">
      <c r="B166" t="s">
        <v>127</v>
      </c>
      <c r="I166" t="s">
        <v>77</v>
      </c>
    </row>
    <row r="167" spans="2:15" ht="15.75" thickBot="1" x14ac:dyDescent="0.3"/>
    <row r="168" spans="2:15" ht="15.75" x14ac:dyDescent="0.25">
      <c r="B168" s="15" t="str">
        <f>IF(OR(one.analysis,NOT(one.refer)),"","Component")</f>
        <v/>
      </c>
      <c r="C168" s="74" t="str">
        <f>IF(OR(one.analysis,NOT(one.refer)),"",study.label)</f>
        <v/>
      </c>
      <c r="D168" s="51" t="str">
        <f>IF(OR(one.analysis,NOT(one.refer)),"",variable)</f>
        <v/>
      </c>
      <c r="E168" s="51" t="str">
        <f>IF(OR(one.analysis,NOT(one.refer)),"",variable)</f>
        <v/>
      </c>
      <c r="F168" s="51" t="str">
        <f>IF(OR(one.analysis,NOT(one.refer)),"",variable)</f>
        <v/>
      </c>
      <c r="G168" s="53" t="str">
        <f>IF(OR(one.analysis,NOT(one.refer)),"","Share of")</f>
        <v/>
      </c>
      <c r="I168" s="15" t="s">
        <v>45</v>
      </c>
      <c r="J168" s="74" t="str">
        <f>IF(OR(one.analysis,one.refer),"",study.label)</f>
        <v/>
      </c>
      <c r="K168" s="104" t="str">
        <f>IF(OR(one.analysis,one.refer),"",study.area&amp;" "&amp;variable)</f>
        <v/>
      </c>
      <c r="L168" s="105"/>
      <c r="M168" s="104" t="str">
        <f>IF(OR(one.analysis,one.refer),"",refer.area&amp;" "&amp;variable)</f>
        <v/>
      </c>
      <c r="N168" s="105"/>
      <c r="O168" s="53" t="str">
        <f>IF(OR(one.analysis,one.refer),"","Share of")</f>
        <v/>
      </c>
    </row>
    <row r="169" spans="2:15" ht="15.75" x14ac:dyDescent="0.25">
      <c r="B169" s="22"/>
      <c r="C169" s="75"/>
      <c r="D169" s="55" t="str">
        <f>IF(OR(one.analysis,NOT(one.refer)),"",base)</f>
        <v/>
      </c>
      <c r="E169" s="55" t="str">
        <f>IF(OR(one.analysis,NOT(one.refer)),"",launch)</f>
        <v/>
      </c>
      <c r="F169" s="55" t="str">
        <f>IF(OR(one.analysis,NOT(one.refer)),"","Change")</f>
        <v/>
      </c>
      <c r="G169" s="57" t="str">
        <f>IF(OR(one.analysis,NOT(one.refer)),"","Change")</f>
        <v/>
      </c>
      <c r="I169" s="22"/>
      <c r="J169" s="75"/>
      <c r="K169" s="55" t="str">
        <f>IF(OR(one.analysis,one.refer),"",base)</f>
        <v/>
      </c>
      <c r="L169" s="55" t="str">
        <f>IF(OR(one.analysis,one.refer),"",launch)</f>
        <v/>
      </c>
      <c r="M169" s="55" t="str">
        <f>IF(OR(one.analysis,one.refer),"",base)</f>
        <v/>
      </c>
      <c r="N169" s="55" t="str">
        <f>IF(OR(one.analysis,one.refer),"",launch)</f>
        <v/>
      </c>
      <c r="O169" s="57" t="str">
        <f>IF(OR(one.analysis,one.refer),"","Change")</f>
        <v/>
      </c>
    </row>
    <row r="170" spans="2:15" ht="15.75" x14ac:dyDescent="0.25">
      <c r="B170" s="40" t="str">
        <f>IF(OR(one.analysis,NOT(one.refer)),"","i")</f>
        <v/>
      </c>
      <c r="C170" s="75"/>
      <c r="D170" s="96" t="str">
        <f>IF(OR(one.analysis,NOT(one.refer)),"","xi^"&amp;base)</f>
        <v/>
      </c>
      <c r="E170" s="96" t="str">
        <f>IF(OR(one.analysis,NOT(one.refer)),"","xi^"&amp;launch)</f>
        <v/>
      </c>
      <c r="F170" s="106" t="str">
        <f>IF(OR(one.analysis,NOT(one.refer)),"",delta&amp;"xi^"&amp;base&amp;","&amp;launch)</f>
        <v/>
      </c>
      <c r="G170" s="107" t="str">
        <f>IF(OR(one.analysis,NOT(one.refer)),"",delta&amp;"si^"&amp;base&amp;","&amp;launch)</f>
        <v/>
      </c>
      <c r="I170" s="40" t="str">
        <f>"i"</f>
        <v>i</v>
      </c>
      <c r="J170" s="75"/>
      <c r="K170" s="96" t="str">
        <f>IF(OR(one.analysis,one.refer),"","xi^"&amp;base)</f>
        <v/>
      </c>
      <c r="L170" s="96" t="str">
        <f>IF(OR(one.analysis,one.refer),"","xi^"&amp;launch)</f>
        <v/>
      </c>
      <c r="M170" s="96" t="str">
        <f>IF(OR(one.analysis,one.refer),"","Xi^"&amp;base)</f>
        <v/>
      </c>
      <c r="N170" s="96" t="str">
        <f>IF(OR(one.analysis,one.refer),"","Xi^"&amp;launch)</f>
        <v/>
      </c>
      <c r="O170" s="107" t="str">
        <f>IF(OR(one.analysis,one.refer),"",delta&amp;"si^"&amp;base&amp;","&amp;launch)</f>
        <v/>
      </c>
    </row>
    <row r="171" spans="2:15" ht="15.75" x14ac:dyDescent="0.25">
      <c r="B171" s="59" t="s">
        <v>0</v>
      </c>
      <c r="C171" s="61" t="s">
        <v>1</v>
      </c>
      <c r="D171" s="61" t="s">
        <v>2</v>
      </c>
      <c r="E171" s="61" t="s">
        <v>3</v>
      </c>
      <c r="F171" s="61" t="s">
        <v>4</v>
      </c>
      <c r="G171" s="62" t="s">
        <v>5</v>
      </c>
      <c r="I171" s="59" t="s">
        <v>0</v>
      </c>
      <c r="J171" s="61" t="s">
        <v>1</v>
      </c>
      <c r="K171" s="61" t="s">
        <v>2</v>
      </c>
      <c r="L171" s="61" t="s">
        <v>3</v>
      </c>
      <c r="M171" s="61" t="s">
        <v>4</v>
      </c>
      <c r="N171" s="78" t="s">
        <v>5</v>
      </c>
      <c r="O171" s="62" t="s">
        <v>6</v>
      </c>
    </row>
    <row r="172" spans="2:15" ht="15.75" x14ac:dyDescent="0.25">
      <c r="B172" s="80">
        <v>1</v>
      </c>
      <c r="C172" s="64" t="str">
        <f>IF(OR(one.analysis,NOT(one.refer)),"",IF(Input!E11="","",Input!E11))</f>
        <v/>
      </c>
      <c r="D172" s="41" t="str">
        <f>IF(C172="","",Input!F11)</f>
        <v/>
      </c>
      <c r="E172" s="41" t="str">
        <f>IF(C172="","",Input!G11)</f>
        <v/>
      </c>
      <c r="F172" s="41" t="str">
        <f>IF(D172="","",E172-D172)</f>
        <v/>
      </c>
      <c r="G172" s="108" t="str">
        <f>IF(E172="","",F172/$F$197)</f>
        <v/>
      </c>
      <c r="I172" s="80">
        <v>1</v>
      </c>
      <c r="J172" s="64" t="str">
        <f>IF(OR(Input!E11="",one.refer),"",Input!E11)</f>
        <v/>
      </c>
      <c r="K172" s="41" t="str">
        <f>IF(OR(J172="",one.refer),"",Input!F11)</f>
        <v/>
      </c>
      <c r="L172" s="41" t="str">
        <f>IF(OR(J172="",,one.refer),"",Input!G11)</f>
        <v/>
      </c>
      <c r="M172" s="41" t="str">
        <f>IF(OR(K172="",one.refer),"",Input!J11)</f>
        <v/>
      </c>
      <c r="N172" s="41" t="str">
        <f>IF(OR(K172="",one.refer),"",Input!K11)</f>
        <v/>
      </c>
      <c r="O172" s="109" t="str">
        <f t="shared" ref="O172:O196" si="14">IF(OR(L172="",,one.refer),"",(L172-K172)/(N172-M172))</f>
        <v/>
      </c>
    </row>
    <row r="173" spans="2:15" ht="15.75" x14ac:dyDescent="0.25">
      <c r="B173" s="80">
        <v>2</v>
      </c>
      <c r="C173" s="64" t="str">
        <f>IF(OR(one.analysis,NOT(one.refer)),"",IF(Input!E12="","",Input!E12))</f>
        <v/>
      </c>
      <c r="D173" s="41" t="str">
        <f>IF(C173="","",Input!F12)</f>
        <v/>
      </c>
      <c r="E173" s="41" t="str">
        <f>IF(C173="","",Input!G12)</f>
        <v/>
      </c>
      <c r="F173" s="41" t="str">
        <f t="shared" ref="F173:F196" si="15">IF(D173="","",E173-D173)</f>
        <v/>
      </c>
      <c r="G173" s="108" t="str">
        <f t="shared" ref="G173:G196" si="16">IF(E173="","",F173/$F$197)</f>
        <v/>
      </c>
      <c r="I173" s="80">
        <v>2</v>
      </c>
      <c r="J173" s="64" t="str">
        <f>IF(OR(Input!E12="",one.refer),"",Input!E12)</f>
        <v/>
      </c>
      <c r="K173" s="41" t="str">
        <f>IF(OR(J173="",one.refer),"",Input!F12)</f>
        <v/>
      </c>
      <c r="L173" s="41" t="str">
        <f>IF(OR(J173="",,one.refer),"",Input!G12)</f>
        <v/>
      </c>
      <c r="M173" s="41" t="str">
        <f>IF(OR(K173="",one.refer),"",Input!J12)</f>
        <v/>
      </c>
      <c r="N173" s="41" t="str">
        <f>IF(OR(K173="",one.refer),"",Input!K12)</f>
        <v/>
      </c>
      <c r="O173" s="109" t="str">
        <f t="shared" si="14"/>
        <v/>
      </c>
    </row>
    <row r="174" spans="2:15" ht="15.75" x14ac:dyDescent="0.25">
      <c r="B174" s="80">
        <v>3</v>
      </c>
      <c r="C174" s="64" t="str">
        <f>IF(OR(one.analysis,NOT(one.refer)),"",IF(Input!E13="","",Input!E13))</f>
        <v/>
      </c>
      <c r="D174" s="41" t="str">
        <f>IF(C174="","",Input!F13)</f>
        <v/>
      </c>
      <c r="E174" s="41" t="str">
        <f>IF(C174="","",Input!G13)</f>
        <v/>
      </c>
      <c r="F174" s="41" t="str">
        <f t="shared" si="15"/>
        <v/>
      </c>
      <c r="G174" s="108" t="str">
        <f t="shared" si="16"/>
        <v/>
      </c>
      <c r="I174" s="80">
        <v>3</v>
      </c>
      <c r="J174" s="64" t="str">
        <f>IF(OR(Input!E13="",one.refer),"",Input!E13)</f>
        <v/>
      </c>
      <c r="K174" s="41" t="str">
        <f>IF(OR(J174="",one.refer),"",Input!F13)</f>
        <v/>
      </c>
      <c r="L174" s="41" t="str">
        <f>IF(OR(J174="",,one.refer),"",Input!G13)</f>
        <v/>
      </c>
      <c r="M174" s="41" t="str">
        <f>IF(OR(K174="",one.refer),"",Input!J13)</f>
        <v/>
      </c>
      <c r="N174" s="41" t="str">
        <f>IF(OR(K174="",one.refer),"",Input!K13)</f>
        <v/>
      </c>
      <c r="O174" s="109" t="str">
        <f t="shared" si="14"/>
        <v/>
      </c>
    </row>
    <row r="175" spans="2:15" ht="15.75" x14ac:dyDescent="0.25">
      <c r="B175" s="80">
        <v>4</v>
      </c>
      <c r="C175" s="64" t="str">
        <f>IF(OR(one.analysis,NOT(one.refer)),"",IF(Input!E14="","",Input!E14))</f>
        <v/>
      </c>
      <c r="D175" s="41" t="str">
        <f>IF(C175="","",Input!F14)</f>
        <v/>
      </c>
      <c r="E175" s="41" t="str">
        <f>IF(C175="","",Input!G14)</f>
        <v/>
      </c>
      <c r="F175" s="41" t="str">
        <f t="shared" si="15"/>
        <v/>
      </c>
      <c r="G175" s="108" t="str">
        <f t="shared" si="16"/>
        <v/>
      </c>
      <c r="I175" s="80">
        <v>4</v>
      </c>
      <c r="J175" s="64" t="str">
        <f>IF(OR(Input!E14="",one.refer),"",Input!E14)</f>
        <v/>
      </c>
      <c r="K175" s="41" t="str">
        <f>IF(OR(J175="",one.refer),"",Input!F14)</f>
        <v/>
      </c>
      <c r="L175" s="41" t="str">
        <f>IF(OR(J175="",,one.refer),"",Input!G14)</f>
        <v/>
      </c>
      <c r="M175" s="41" t="str">
        <f>IF(OR(K175="",one.refer),"",Input!J14)</f>
        <v/>
      </c>
      <c r="N175" s="41" t="str">
        <f>IF(OR(K175="",one.refer),"",Input!K14)</f>
        <v/>
      </c>
      <c r="O175" s="109" t="str">
        <f t="shared" si="14"/>
        <v/>
      </c>
    </row>
    <row r="176" spans="2:15" ht="15.75" x14ac:dyDescent="0.25">
      <c r="B176" s="80">
        <v>5</v>
      </c>
      <c r="C176" s="64" t="str">
        <f>IF(OR(one.analysis,NOT(one.refer)),"",IF(Input!E15="","",Input!E15))</f>
        <v/>
      </c>
      <c r="D176" s="41" t="str">
        <f>IF(C176="","",Input!F15)</f>
        <v/>
      </c>
      <c r="E176" s="41" t="str">
        <f>IF(C176="","",Input!G15)</f>
        <v/>
      </c>
      <c r="F176" s="41" t="str">
        <f t="shared" si="15"/>
        <v/>
      </c>
      <c r="G176" s="108" t="str">
        <f t="shared" si="16"/>
        <v/>
      </c>
      <c r="I176" s="80">
        <v>5</v>
      </c>
      <c r="J176" s="64" t="str">
        <f>IF(OR(Input!E15="",one.refer),"",Input!E15)</f>
        <v/>
      </c>
      <c r="K176" s="41" t="str">
        <f>IF(OR(J176="",one.refer),"",Input!F15)</f>
        <v/>
      </c>
      <c r="L176" s="41" t="str">
        <f>IF(OR(J176="",,one.refer),"",Input!G15)</f>
        <v/>
      </c>
      <c r="M176" s="41" t="str">
        <f>IF(OR(K176="",one.refer),"",Input!J15)</f>
        <v/>
      </c>
      <c r="N176" s="41" t="str">
        <f>IF(OR(K176="",one.refer),"",Input!K15)</f>
        <v/>
      </c>
      <c r="O176" s="109" t="str">
        <f t="shared" si="14"/>
        <v/>
      </c>
    </row>
    <row r="177" spans="2:15" ht="15.75" x14ac:dyDescent="0.25">
      <c r="B177" s="80">
        <v>6</v>
      </c>
      <c r="C177" s="64" t="str">
        <f>IF(OR(one.analysis,NOT(one.refer)),"",IF(Input!E16="","",Input!E16))</f>
        <v/>
      </c>
      <c r="D177" s="41" t="str">
        <f>IF(C177="","",Input!F16)</f>
        <v/>
      </c>
      <c r="E177" s="41" t="str">
        <f>IF(C177="","",Input!G16)</f>
        <v/>
      </c>
      <c r="F177" s="41" t="str">
        <f t="shared" si="15"/>
        <v/>
      </c>
      <c r="G177" s="108" t="str">
        <f t="shared" si="16"/>
        <v/>
      </c>
      <c r="I177" s="80">
        <v>6</v>
      </c>
      <c r="J177" s="64" t="str">
        <f>IF(OR(Input!E16="",one.refer),"",Input!E16)</f>
        <v/>
      </c>
      <c r="K177" s="41" t="str">
        <f>IF(OR(J177="",one.refer),"",Input!F16)</f>
        <v/>
      </c>
      <c r="L177" s="41" t="str">
        <f>IF(OR(J177="",,one.refer),"",Input!G16)</f>
        <v/>
      </c>
      <c r="M177" s="41" t="str">
        <f>IF(OR(K177="",one.refer),"",Input!J16)</f>
        <v/>
      </c>
      <c r="N177" s="41" t="str">
        <f>IF(OR(K177="",one.refer),"",Input!K16)</f>
        <v/>
      </c>
      <c r="O177" s="109" t="str">
        <f t="shared" si="14"/>
        <v/>
      </c>
    </row>
    <row r="178" spans="2:15" ht="15.75" x14ac:dyDescent="0.25">
      <c r="B178" s="80">
        <v>7</v>
      </c>
      <c r="C178" s="64" t="str">
        <f>IF(OR(one.analysis,NOT(one.refer)),"",IF(Input!E17="","",Input!E17))</f>
        <v/>
      </c>
      <c r="D178" s="41" t="str">
        <f>IF(C178="","",Input!F17)</f>
        <v/>
      </c>
      <c r="E178" s="41" t="str">
        <f>IF(C178="","",Input!G17)</f>
        <v/>
      </c>
      <c r="F178" s="41" t="str">
        <f t="shared" si="15"/>
        <v/>
      </c>
      <c r="G178" s="108" t="str">
        <f t="shared" si="16"/>
        <v/>
      </c>
      <c r="I178" s="80">
        <v>7</v>
      </c>
      <c r="J178" s="64" t="str">
        <f>IF(OR(Input!E17="",one.refer),"",Input!E17)</f>
        <v/>
      </c>
      <c r="K178" s="41" t="str">
        <f>IF(OR(J178="",one.refer),"",Input!F17)</f>
        <v/>
      </c>
      <c r="L178" s="41" t="str">
        <f>IF(OR(J178="",,one.refer),"",Input!G17)</f>
        <v/>
      </c>
      <c r="M178" s="41" t="str">
        <f>IF(OR(K178="",one.refer),"",Input!J17)</f>
        <v/>
      </c>
      <c r="N178" s="41" t="str">
        <f>IF(OR(K178="",one.refer),"",Input!K17)</f>
        <v/>
      </c>
      <c r="O178" s="109" t="str">
        <f t="shared" si="14"/>
        <v/>
      </c>
    </row>
    <row r="179" spans="2:15" ht="15.75" x14ac:dyDescent="0.25">
      <c r="B179" s="80">
        <v>8</v>
      </c>
      <c r="C179" s="64" t="str">
        <f>IF(OR(one.analysis,NOT(one.refer)),"",IF(Input!E18="","",Input!E18))</f>
        <v/>
      </c>
      <c r="D179" s="41" t="str">
        <f>IF(C179="","",Input!F18)</f>
        <v/>
      </c>
      <c r="E179" s="41" t="str">
        <f>IF(C179="","",Input!G18)</f>
        <v/>
      </c>
      <c r="F179" s="41" t="str">
        <f t="shared" si="15"/>
        <v/>
      </c>
      <c r="G179" s="108" t="str">
        <f t="shared" si="16"/>
        <v/>
      </c>
      <c r="I179" s="80">
        <v>8</v>
      </c>
      <c r="J179" s="64" t="str">
        <f>IF(OR(Input!E18="",one.refer),"",Input!E18)</f>
        <v/>
      </c>
      <c r="K179" s="41" t="str">
        <f>IF(OR(J179="",one.refer),"",Input!F18)</f>
        <v/>
      </c>
      <c r="L179" s="41" t="str">
        <f>IF(OR(J179="",,one.refer),"",Input!G18)</f>
        <v/>
      </c>
      <c r="M179" s="41" t="str">
        <f>IF(OR(K179="",one.refer),"",Input!J18)</f>
        <v/>
      </c>
      <c r="N179" s="41" t="str">
        <f>IF(OR(K179="",one.refer),"",Input!K18)</f>
        <v/>
      </c>
      <c r="O179" s="109" t="str">
        <f t="shared" si="14"/>
        <v/>
      </c>
    </row>
    <row r="180" spans="2:15" ht="15.75" x14ac:dyDescent="0.25">
      <c r="B180" s="80">
        <v>9</v>
      </c>
      <c r="C180" s="64" t="str">
        <f>IF(OR(one.analysis,NOT(one.refer)),"",IF(Input!E19="","",Input!E19))</f>
        <v/>
      </c>
      <c r="D180" s="41" t="str">
        <f>IF(C180="","",Input!F19)</f>
        <v/>
      </c>
      <c r="E180" s="41" t="str">
        <f>IF(C180="","",Input!G19)</f>
        <v/>
      </c>
      <c r="F180" s="41" t="str">
        <f t="shared" si="15"/>
        <v/>
      </c>
      <c r="G180" s="108" t="str">
        <f t="shared" si="16"/>
        <v/>
      </c>
      <c r="I180" s="80">
        <v>9</v>
      </c>
      <c r="J180" s="64" t="str">
        <f>IF(OR(Input!E19="",one.refer),"",Input!E19)</f>
        <v/>
      </c>
      <c r="K180" s="41" t="str">
        <f>IF(OR(J180="",one.refer),"",Input!F19)</f>
        <v/>
      </c>
      <c r="L180" s="41" t="str">
        <f>IF(OR(J180="",,one.refer),"",Input!G19)</f>
        <v/>
      </c>
      <c r="M180" s="41" t="str">
        <f>IF(OR(K180="",one.refer),"",Input!J19)</f>
        <v/>
      </c>
      <c r="N180" s="41" t="str">
        <f>IF(OR(K180="",one.refer),"",Input!K19)</f>
        <v/>
      </c>
      <c r="O180" s="109" t="str">
        <f t="shared" si="14"/>
        <v/>
      </c>
    </row>
    <row r="181" spans="2:15" ht="15.75" x14ac:dyDescent="0.25">
      <c r="B181" s="80">
        <v>10</v>
      </c>
      <c r="C181" s="64" t="str">
        <f>IF(OR(one.analysis,NOT(one.refer)),"",IF(Input!E20="","",Input!E20))</f>
        <v/>
      </c>
      <c r="D181" s="41" t="str">
        <f>IF(C181="","",Input!F20)</f>
        <v/>
      </c>
      <c r="E181" s="41" t="str">
        <f>IF(C181="","",Input!G20)</f>
        <v/>
      </c>
      <c r="F181" s="41" t="str">
        <f t="shared" si="15"/>
        <v/>
      </c>
      <c r="G181" s="108" t="str">
        <f t="shared" si="16"/>
        <v/>
      </c>
      <c r="I181" s="80">
        <v>10</v>
      </c>
      <c r="J181" s="64" t="str">
        <f>IF(OR(Input!E20="",one.refer),"",Input!E20)</f>
        <v/>
      </c>
      <c r="K181" s="41" t="str">
        <f>IF(OR(J181="",one.refer),"",Input!F20)</f>
        <v/>
      </c>
      <c r="L181" s="41" t="str">
        <f>IF(OR(J181="",,one.refer),"",Input!G20)</f>
        <v/>
      </c>
      <c r="M181" s="41" t="str">
        <f>IF(OR(K181="",one.refer),"",Input!J20)</f>
        <v/>
      </c>
      <c r="N181" s="41" t="str">
        <f>IF(OR(K181="",one.refer),"",Input!K20)</f>
        <v/>
      </c>
      <c r="O181" s="109" t="str">
        <f t="shared" si="14"/>
        <v/>
      </c>
    </row>
    <row r="182" spans="2:15" ht="15.75" x14ac:dyDescent="0.25">
      <c r="B182" s="80">
        <v>11</v>
      </c>
      <c r="C182" s="64" t="str">
        <f>IF(OR(one.analysis,NOT(one.refer)),"",IF(Input!E21="","",Input!E21))</f>
        <v/>
      </c>
      <c r="D182" s="41" t="str">
        <f>IF(C182="","",Input!F21)</f>
        <v/>
      </c>
      <c r="E182" s="41" t="str">
        <f>IF(C182="","",Input!G21)</f>
        <v/>
      </c>
      <c r="F182" s="41" t="str">
        <f t="shared" si="15"/>
        <v/>
      </c>
      <c r="G182" s="108" t="str">
        <f t="shared" si="16"/>
        <v/>
      </c>
      <c r="I182" s="80">
        <v>11</v>
      </c>
      <c r="J182" s="64" t="str">
        <f>IF(OR(Input!E21="",one.refer),"",Input!E21)</f>
        <v/>
      </c>
      <c r="K182" s="41" t="str">
        <f>IF(OR(J182="",one.refer),"",Input!F21)</f>
        <v/>
      </c>
      <c r="L182" s="41" t="str">
        <f>IF(OR(J182="",,one.refer),"",Input!G21)</f>
        <v/>
      </c>
      <c r="M182" s="41" t="str">
        <f>IF(OR(K182="",one.refer),"",Input!J21)</f>
        <v/>
      </c>
      <c r="N182" s="41" t="str">
        <f>IF(OR(K182="",one.refer),"",Input!K21)</f>
        <v/>
      </c>
      <c r="O182" s="109" t="str">
        <f t="shared" si="14"/>
        <v/>
      </c>
    </row>
    <row r="183" spans="2:15" ht="15.75" x14ac:dyDescent="0.25">
      <c r="B183" s="80">
        <v>12</v>
      </c>
      <c r="C183" s="64" t="str">
        <f>IF(OR(one.analysis,NOT(one.refer)),"",IF(Input!E22="","",Input!E22))</f>
        <v/>
      </c>
      <c r="D183" s="41" t="str">
        <f>IF(C183="","",Input!F22)</f>
        <v/>
      </c>
      <c r="E183" s="41" t="str">
        <f>IF(C183="","",Input!G22)</f>
        <v/>
      </c>
      <c r="F183" s="41" t="str">
        <f t="shared" si="15"/>
        <v/>
      </c>
      <c r="G183" s="108" t="str">
        <f t="shared" si="16"/>
        <v/>
      </c>
      <c r="I183" s="80">
        <v>12</v>
      </c>
      <c r="J183" s="64" t="str">
        <f>IF(OR(Input!E22="",one.refer),"",Input!E22)</f>
        <v/>
      </c>
      <c r="K183" s="41" t="str">
        <f>IF(OR(J183="",one.refer),"",Input!F22)</f>
        <v/>
      </c>
      <c r="L183" s="41" t="str">
        <f>IF(OR(J183="",,one.refer),"",Input!G22)</f>
        <v/>
      </c>
      <c r="M183" s="41" t="str">
        <f>IF(OR(K183="",one.refer),"",Input!J22)</f>
        <v/>
      </c>
      <c r="N183" s="41" t="str">
        <f>IF(OR(K183="",one.refer),"",Input!K22)</f>
        <v/>
      </c>
      <c r="O183" s="109" t="str">
        <f t="shared" si="14"/>
        <v/>
      </c>
    </row>
    <row r="184" spans="2:15" ht="15.75" x14ac:dyDescent="0.25">
      <c r="B184" s="80">
        <v>13</v>
      </c>
      <c r="C184" s="64" t="str">
        <f>IF(OR(one.analysis,NOT(one.refer)),"",IF(Input!E23="","",Input!E23))</f>
        <v/>
      </c>
      <c r="D184" s="41" t="str">
        <f>IF(C184="","",Input!F23)</f>
        <v/>
      </c>
      <c r="E184" s="41" t="str">
        <f>IF(C184="","",Input!G23)</f>
        <v/>
      </c>
      <c r="F184" s="41" t="str">
        <f t="shared" si="15"/>
        <v/>
      </c>
      <c r="G184" s="108" t="str">
        <f t="shared" si="16"/>
        <v/>
      </c>
      <c r="I184" s="80">
        <v>13</v>
      </c>
      <c r="J184" s="64" t="str">
        <f>IF(OR(Input!E23="",one.refer),"",Input!E23)</f>
        <v/>
      </c>
      <c r="K184" s="41" t="str">
        <f>IF(OR(J184="",one.refer),"",Input!F23)</f>
        <v/>
      </c>
      <c r="L184" s="41" t="str">
        <f>IF(OR(J184="",,one.refer),"",Input!G23)</f>
        <v/>
      </c>
      <c r="M184" s="41" t="str">
        <f>IF(OR(K184="",one.refer),"",Input!J23)</f>
        <v/>
      </c>
      <c r="N184" s="41" t="str">
        <f>IF(OR(K184="",one.refer),"",Input!K23)</f>
        <v/>
      </c>
      <c r="O184" s="109" t="str">
        <f t="shared" si="14"/>
        <v/>
      </c>
    </row>
    <row r="185" spans="2:15" ht="15.75" x14ac:dyDescent="0.25">
      <c r="B185" s="80">
        <v>14</v>
      </c>
      <c r="C185" s="64" t="str">
        <f>IF(OR(one.analysis,NOT(one.refer)),"",IF(Input!E24="","",Input!E24))</f>
        <v/>
      </c>
      <c r="D185" s="41" t="str">
        <f>IF(C185="","",Input!F24)</f>
        <v/>
      </c>
      <c r="E185" s="41" t="str">
        <f>IF(C185="","",Input!G24)</f>
        <v/>
      </c>
      <c r="F185" s="41" t="str">
        <f t="shared" si="15"/>
        <v/>
      </c>
      <c r="G185" s="108" t="str">
        <f t="shared" si="16"/>
        <v/>
      </c>
      <c r="I185" s="80">
        <v>14</v>
      </c>
      <c r="J185" s="64" t="str">
        <f>IF(OR(Input!E24="",one.refer),"",Input!E24)</f>
        <v/>
      </c>
      <c r="K185" s="41" t="str">
        <f>IF(OR(J185="",one.refer),"",Input!F24)</f>
        <v/>
      </c>
      <c r="L185" s="41" t="str">
        <f>IF(OR(J185="",,one.refer),"",Input!G24)</f>
        <v/>
      </c>
      <c r="M185" s="41" t="str">
        <f>IF(OR(K185="",one.refer),"",Input!J24)</f>
        <v/>
      </c>
      <c r="N185" s="41" t="str">
        <f>IF(OR(K185="",one.refer),"",Input!K24)</f>
        <v/>
      </c>
      <c r="O185" s="109" t="str">
        <f t="shared" si="14"/>
        <v/>
      </c>
    </row>
    <row r="186" spans="2:15" ht="15.75" x14ac:dyDescent="0.25">
      <c r="B186" s="80">
        <v>15</v>
      </c>
      <c r="C186" s="64" t="str">
        <f>IF(OR(one.analysis,NOT(one.refer)),"",IF(Input!E25="","",Input!E25))</f>
        <v/>
      </c>
      <c r="D186" s="41" t="str">
        <f>IF(C186="","",Input!F25)</f>
        <v/>
      </c>
      <c r="E186" s="41" t="str">
        <f>IF(C186="","",Input!G25)</f>
        <v/>
      </c>
      <c r="F186" s="41" t="str">
        <f t="shared" si="15"/>
        <v/>
      </c>
      <c r="G186" s="108" t="str">
        <f t="shared" si="16"/>
        <v/>
      </c>
      <c r="I186" s="80">
        <v>15</v>
      </c>
      <c r="J186" s="64" t="str">
        <f>IF(OR(Input!E25="",one.refer),"",Input!E25)</f>
        <v/>
      </c>
      <c r="K186" s="41" t="str">
        <f>IF(OR(J186="",one.refer),"",Input!F25)</f>
        <v/>
      </c>
      <c r="L186" s="41" t="str">
        <f>IF(OR(J186="",,one.refer),"",Input!G25)</f>
        <v/>
      </c>
      <c r="M186" s="41" t="str">
        <f>IF(OR(K186="",one.refer),"",Input!J25)</f>
        <v/>
      </c>
      <c r="N186" s="41" t="str">
        <f>IF(OR(K186="",one.refer),"",Input!K25)</f>
        <v/>
      </c>
      <c r="O186" s="109" t="str">
        <f t="shared" si="14"/>
        <v/>
      </c>
    </row>
    <row r="187" spans="2:15" ht="15.75" x14ac:dyDescent="0.25">
      <c r="B187" s="80">
        <v>16</v>
      </c>
      <c r="C187" s="64" t="str">
        <f>IF(OR(one.analysis,NOT(one.refer)),"",IF(Input!E26="","",Input!E26))</f>
        <v/>
      </c>
      <c r="D187" s="41" t="str">
        <f>IF(C187="","",Input!F26)</f>
        <v/>
      </c>
      <c r="E187" s="41" t="str">
        <f>IF(C187="","",Input!G26)</f>
        <v/>
      </c>
      <c r="F187" s="41" t="str">
        <f t="shared" si="15"/>
        <v/>
      </c>
      <c r="G187" s="108" t="str">
        <f t="shared" si="16"/>
        <v/>
      </c>
      <c r="I187" s="80">
        <v>16</v>
      </c>
      <c r="J187" s="64" t="str">
        <f>IF(OR(Input!E26="",one.refer),"",Input!E26)</f>
        <v/>
      </c>
      <c r="K187" s="41" t="str">
        <f>IF(OR(J187="",one.refer),"",Input!F26)</f>
        <v/>
      </c>
      <c r="L187" s="41" t="str">
        <f>IF(OR(J187="",,one.refer),"",Input!G26)</f>
        <v/>
      </c>
      <c r="M187" s="41" t="str">
        <f>IF(OR(K187="",one.refer),"",Input!J26)</f>
        <v/>
      </c>
      <c r="N187" s="41" t="str">
        <f>IF(OR(K187="",one.refer),"",Input!K26)</f>
        <v/>
      </c>
      <c r="O187" s="109" t="str">
        <f t="shared" si="14"/>
        <v/>
      </c>
    </row>
    <row r="188" spans="2:15" ht="15.75" x14ac:dyDescent="0.25">
      <c r="B188" s="80">
        <v>17</v>
      </c>
      <c r="C188" s="64" t="str">
        <f>IF(OR(one.analysis,NOT(one.refer)),"",IF(Input!E27="","",Input!E27))</f>
        <v/>
      </c>
      <c r="D188" s="41" t="str">
        <f>IF(C188="","",Input!F27)</f>
        <v/>
      </c>
      <c r="E188" s="41" t="str">
        <f>IF(C188="","",Input!G27)</f>
        <v/>
      </c>
      <c r="F188" s="41" t="str">
        <f t="shared" si="15"/>
        <v/>
      </c>
      <c r="G188" s="108" t="str">
        <f t="shared" si="16"/>
        <v/>
      </c>
      <c r="I188" s="80">
        <v>17</v>
      </c>
      <c r="J188" s="64" t="str">
        <f>IF(OR(Input!E27="",one.refer),"",Input!E27)</f>
        <v/>
      </c>
      <c r="K188" s="41" t="str">
        <f>IF(OR(J188="",one.refer),"",Input!F27)</f>
        <v/>
      </c>
      <c r="L188" s="41" t="str">
        <f>IF(OR(J188="",,one.refer),"",Input!G27)</f>
        <v/>
      </c>
      <c r="M188" s="41" t="str">
        <f>IF(OR(K188="",one.refer),"",Input!J27)</f>
        <v/>
      </c>
      <c r="N188" s="41" t="str">
        <f>IF(OR(K188="",one.refer),"",Input!K27)</f>
        <v/>
      </c>
      <c r="O188" s="109" t="str">
        <f t="shared" si="14"/>
        <v/>
      </c>
    </row>
    <row r="189" spans="2:15" ht="15.75" x14ac:dyDescent="0.25">
      <c r="B189" s="80">
        <v>18</v>
      </c>
      <c r="C189" s="64" t="str">
        <f>IF(OR(one.analysis,NOT(one.refer)),"",IF(Input!E28="","",Input!E28))</f>
        <v/>
      </c>
      <c r="D189" s="41" t="str">
        <f>IF(C189="","",Input!F28)</f>
        <v/>
      </c>
      <c r="E189" s="41" t="str">
        <f>IF(C189="","",Input!G28)</f>
        <v/>
      </c>
      <c r="F189" s="41" t="str">
        <f t="shared" si="15"/>
        <v/>
      </c>
      <c r="G189" s="108" t="str">
        <f t="shared" si="16"/>
        <v/>
      </c>
      <c r="I189" s="80">
        <v>18</v>
      </c>
      <c r="J189" s="64" t="str">
        <f>IF(OR(Input!E28="",one.refer),"",Input!E28)</f>
        <v/>
      </c>
      <c r="K189" s="41" t="str">
        <f>IF(OR(J189="",one.refer),"",Input!F28)</f>
        <v/>
      </c>
      <c r="L189" s="41" t="str">
        <f>IF(OR(J189="",,one.refer),"",Input!G28)</f>
        <v/>
      </c>
      <c r="M189" s="41" t="str">
        <f>IF(OR(K189="",one.refer),"",Input!J28)</f>
        <v/>
      </c>
      <c r="N189" s="41" t="str">
        <f>IF(OR(K189="",one.refer),"",Input!K28)</f>
        <v/>
      </c>
      <c r="O189" s="109" t="str">
        <f t="shared" si="14"/>
        <v/>
      </c>
    </row>
    <row r="190" spans="2:15" ht="15.75" x14ac:dyDescent="0.25">
      <c r="B190" s="80">
        <v>19</v>
      </c>
      <c r="C190" s="64" t="str">
        <f>IF(OR(one.analysis,NOT(one.refer)),"",IF(Input!E29="","",Input!E29))</f>
        <v/>
      </c>
      <c r="D190" s="41" t="str">
        <f>IF(C190="","",Input!F29)</f>
        <v/>
      </c>
      <c r="E190" s="41" t="str">
        <f>IF(C190="","",Input!G29)</f>
        <v/>
      </c>
      <c r="F190" s="41" t="str">
        <f t="shared" si="15"/>
        <v/>
      </c>
      <c r="G190" s="108" t="str">
        <f t="shared" si="16"/>
        <v/>
      </c>
      <c r="I190" s="80">
        <v>19</v>
      </c>
      <c r="J190" s="64" t="str">
        <f>IF(OR(Input!E29="",one.refer),"",Input!E29)</f>
        <v/>
      </c>
      <c r="K190" s="41" t="str">
        <f>IF(OR(J190="",one.refer),"",Input!F29)</f>
        <v/>
      </c>
      <c r="L190" s="41" t="str">
        <f>IF(OR(J190="",,one.refer),"",Input!G29)</f>
        <v/>
      </c>
      <c r="M190" s="41" t="str">
        <f>IF(OR(K190="",one.refer),"",Input!J29)</f>
        <v/>
      </c>
      <c r="N190" s="41" t="str">
        <f>IF(OR(K190="",one.refer),"",Input!K29)</f>
        <v/>
      </c>
      <c r="O190" s="109" t="str">
        <f t="shared" si="14"/>
        <v/>
      </c>
    </row>
    <row r="191" spans="2:15" ht="15.75" x14ac:dyDescent="0.25">
      <c r="B191" s="80">
        <v>20</v>
      </c>
      <c r="C191" s="64" t="str">
        <f>IF(OR(one.analysis,NOT(one.refer)),"",IF(Input!E30="","",Input!E30))</f>
        <v/>
      </c>
      <c r="D191" s="41" t="str">
        <f>IF(C191="","",Input!F30)</f>
        <v/>
      </c>
      <c r="E191" s="41" t="str">
        <f>IF(C191="","",Input!G30)</f>
        <v/>
      </c>
      <c r="F191" s="41" t="str">
        <f t="shared" si="15"/>
        <v/>
      </c>
      <c r="G191" s="108" t="str">
        <f t="shared" si="16"/>
        <v/>
      </c>
      <c r="I191" s="80">
        <v>20</v>
      </c>
      <c r="J191" s="64" t="str">
        <f>IF(OR(Input!E30="",one.refer),"",Input!E30)</f>
        <v/>
      </c>
      <c r="K191" s="41" t="str">
        <f>IF(OR(J191="",one.refer),"",Input!F30)</f>
        <v/>
      </c>
      <c r="L191" s="41" t="str">
        <f>IF(OR(J191="",,one.refer),"",Input!G30)</f>
        <v/>
      </c>
      <c r="M191" s="41" t="str">
        <f>IF(OR(K191="",one.refer),"",Input!J30)</f>
        <v/>
      </c>
      <c r="N191" s="41" t="str">
        <f>IF(OR(K191="",one.refer),"",Input!K30)</f>
        <v/>
      </c>
      <c r="O191" s="109" t="str">
        <f t="shared" si="14"/>
        <v/>
      </c>
    </row>
    <row r="192" spans="2:15" ht="15.75" x14ac:dyDescent="0.25">
      <c r="B192" s="80">
        <v>21</v>
      </c>
      <c r="C192" s="64" t="str">
        <f>IF(OR(one.analysis,NOT(one.refer)),"",IF(Input!E31="","",Input!E31))</f>
        <v/>
      </c>
      <c r="D192" s="41" t="str">
        <f>IF(C192="","",Input!F31)</f>
        <v/>
      </c>
      <c r="E192" s="41" t="str">
        <f>IF(C192="","",Input!G31)</f>
        <v/>
      </c>
      <c r="F192" s="41" t="str">
        <f t="shared" si="15"/>
        <v/>
      </c>
      <c r="G192" s="108" t="str">
        <f t="shared" si="16"/>
        <v/>
      </c>
      <c r="I192" s="80">
        <v>21</v>
      </c>
      <c r="J192" s="64" t="str">
        <f>IF(OR(Input!E31="",one.refer),"",Input!E31)</f>
        <v/>
      </c>
      <c r="K192" s="41" t="str">
        <f>IF(OR(J192="",one.refer),"",Input!F31)</f>
        <v/>
      </c>
      <c r="L192" s="41" t="str">
        <f>IF(OR(J192="",,one.refer),"",Input!G31)</f>
        <v/>
      </c>
      <c r="M192" s="41" t="str">
        <f>IF(OR(K192="",one.refer),"",Input!J31)</f>
        <v/>
      </c>
      <c r="N192" s="41" t="str">
        <f>IF(OR(K192="",one.refer),"",Input!K31)</f>
        <v/>
      </c>
      <c r="O192" s="109" t="str">
        <f t="shared" si="14"/>
        <v/>
      </c>
    </row>
    <row r="193" spans="2:18" ht="15.75" x14ac:dyDescent="0.25">
      <c r="B193" s="80">
        <v>22</v>
      </c>
      <c r="C193" s="64" t="str">
        <f>IF(OR(one.analysis,NOT(one.refer)),"",IF(Input!E32="","",Input!E32))</f>
        <v/>
      </c>
      <c r="D193" s="41" t="str">
        <f>IF(C193="","",Input!F32)</f>
        <v/>
      </c>
      <c r="E193" s="41" t="str">
        <f>IF(C193="","",Input!G32)</f>
        <v/>
      </c>
      <c r="F193" s="41" t="str">
        <f t="shared" si="15"/>
        <v/>
      </c>
      <c r="G193" s="108" t="str">
        <f t="shared" si="16"/>
        <v/>
      </c>
      <c r="I193" s="80">
        <v>22</v>
      </c>
      <c r="J193" s="64" t="str">
        <f>IF(OR(Input!E32="",one.refer),"",Input!E32)</f>
        <v/>
      </c>
      <c r="K193" s="41" t="str">
        <f>IF(OR(J193="",one.refer),"",Input!F32)</f>
        <v/>
      </c>
      <c r="L193" s="41" t="str">
        <f>IF(OR(J193="",,one.refer),"",Input!G32)</f>
        <v/>
      </c>
      <c r="M193" s="41" t="str">
        <f>IF(OR(K193="",one.refer),"",Input!J32)</f>
        <v/>
      </c>
      <c r="N193" s="41" t="str">
        <f>IF(OR(K193="",one.refer),"",Input!K32)</f>
        <v/>
      </c>
      <c r="O193" s="109" t="str">
        <f t="shared" si="14"/>
        <v/>
      </c>
    </row>
    <row r="194" spans="2:18" ht="15.75" x14ac:dyDescent="0.25">
      <c r="B194" s="80">
        <v>23</v>
      </c>
      <c r="C194" s="64" t="str">
        <f>IF(OR(one.analysis,NOT(one.refer)),"",IF(Input!E33="","",Input!E33))</f>
        <v/>
      </c>
      <c r="D194" s="41" t="str">
        <f>IF(C194="","",Input!F33)</f>
        <v/>
      </c>
      <c r="E194" s="41" t="str">
        <f>IF(C194="","",Input!G33)</f>
        <v/>
      </c>
      <c r="F194" s="41" t="str">
        <f t="shared" si="15"/>
        <v/>
      </c>
      <c r="G194" s="108" t="str">
        <f t="shared" si="16"/>
        <v/>
      </c>
      <c r="I194" s="80">
        <v>23</v>
      </c>
      <c r="J194" s="64" t="str">
        <f>IF(OR(Input!E33="",one.refer),"",Input!E33)</f>
        <v/>
      </c>
      <c r="K194" s="41" t="str">
        <f>IF(OR(J194="",one.refer),"",Input!F33)</f>
        <v/>
      </c>
      <c r="L194" s="41" t="str">
        <f>IF(OR(J194="",,one.refer),"",Input!G33)</f>
        <v/>
      </c>
      <c r="M194" s="41" t="str">
        <f>IF(OR(K194="",one.refer),"",Input!J33)</f>
        <v/>
      </c>
      <c r="N194" s="41" t="str">
        <f>IF(OR(K194="",one.refer),"",Input!K33)</f>
        <v/>
      </c>
      <c r="O194" s="109" t="str">
        <f t="shared" si="14"/>
        <v/>
      </c>
    </row>
    <row r="195" spans="2:18" ht="15.75" x14ac:dyDescent="0.25">
      <c r="B195" s="80">
        <v>24</v>
      </c>
      <c r="C195" s="64" t="str">
        <f>IF(OR(one.analysis,NOT(one.refer)),"",IF(Input!E34="","",Input!E34))</f>
        <v/>
      </c>
      <c r="D195" s="41" t="str">
        <f>IF(C195="","",Input!F34)</f>
        <v/>
      </c>
      <c r="E195" s="41" t="str">
        <f>IF(C195="","",Input!G34)</f>
        <v/>
      </c>
      <c r="F195" s="41" t="str">
        <f t="shared" si="15"/>
        <v/>
      </c>
      <c r="G195" s="108" t="str">
        <f t="shared" si="16"/>
        <v/>
      </c>
      <c r="I195" s="80">
        <v>24</v>
      </c>
      <c r="J195" s="64" t="str">
        <f>IF(OR(Input!E34="",one.refer),"",Input!E34)</f>
        <v/>
      </c>
      <c r="K195" s="41" t="str">
        <f>IF(OR(J195="",one.refer),"",Input!F34)</f>
        <v/>
      </c>
      <c r="L195" s="41" t="str">
        <f>IF(OR(J195="",,one.refer),"",Input!G34)</f>
        <v/>
      </c>
      <c r="M195" s="41" t="str">
        <f>IF(OR(K195="",one.refer),"",Input!J34)</f>
        <v/>
      </c>
      <c r="N195" s="41" t="str">
        <f>IF(OR(K195="",one.refer),"",Input!K34)</f>
        <v/>
      </c>
      <c r="O195" s="109" t="str">
        <f t="shared" si="14"/>
        <v/>
      </c>
    </row>
    <row r="196" spans="2:18" ht="15.75" x14ac:dyDescent="0.25">
      <c r="B196" s="80">
        <v>25</v>
      </c>
      <c r="C196" s="64" t="str">
        <f>IF(OR(one.analysis,NOT(one.refer)),"",IF(Input!E35="","",Input!E35))</f>
        <v/>
      </c>
      <c r="D196" s="41" t="str">
        <f>IF(C196="","",Input!F35)</f>
        <v/>
      </c>
      <c r="E196" s="41" t="str">
        <f>IF(C196="","",Input!G35)</f>
        <v/>
      </c>
      <c r="F196" s="41" t="str">
        <f t="shared" si="15"/>
        <v/>
      </c>
      <c r="G196" s="108" t="str">
        <f t="shared" si="16"/>
        <v/>
      </c>
      <c r="I196" s="80">
        <v>25</v>
      </c>
      <c r="J196" s="64" t="str">
        <f>IF(OR(Input!E35="",one.refer),"",Input!E35)</f>
        <v/>
      </c>
      <c r="K196" s="41" t="str">
        <f>IF(OR(J196="",one.refer),"",Input!F35)</f>
        <v/>
      </c>
      <c r="L196" s="41" t="str">
        <f>IF(OR(J196="",,one.refer),"",Input!G35)</f>
        <v/>
      </c>
      <c r="M196" s="41" t="str">
        <f>IF(OR(K196="",one.refer),"",Input!J35)</f>
        <v/>
      </c>
      <c r="N196" s="41" t="str">
        <f>IF(OR(K196="",one.refer),"",Input!K35)</f>
        <v/>
      </c>
      <c r="O196" s="109" t="str">
        <f t="shared" si="14"/>
        <v/>
      </c>
    </row>
    <row r="197" spans="2:18" ht="15.75" thickBot="1" x14ac:dyDescent="0.3">
      <c r="B197" s="84" t="s">
        <v>23</v>
      </c>
      <c r="C197" s="85" t="s">
        <v>24</v>
      </c>
      <c r="D197" s="86" t="str">
        <f>IF(OR(one.analysis,NOT(one.refer)),"",SUM(D172:D196))</f>
        <v/>
      </c>
      <c r="E197" s="86" t="str">
        <f>IF(OR(one.analysis,NOT(one.refer)),"",SUM(E172:E196))</f>
        <v/>
      </c>
      <c r="F197" s="86" t="str">
        <f>IF(OR(one.analysis,NOT(one.refer)),"",SUM(F172:F196))</f>
        <v/>
      </c>
      <c r="G197" s="259" t="str">
        <f>IF(OR(one.analysis,NOT(one.refer)),"",SUM(G172:G196))</f>
        <v/>
      </c>
      <c r="I197" s="84" t="s">
        <v>23</v>
      </c>
      <c r="J197" s="85" t="s">
        <v>24</v>
      </c>
      <c r="K197" s="86" t="str">
        <f>IF(OR(one.analysis,one.refer),"",SUM(K172:K196))</f>
        <v/>
      </c>
      <c r="L197" s="86" t="str">
        <f>IF(OR(one.analysis,one.refer),"",SUM(L172:L196))</f>
        <v/>
      </c>
      <c r="M197" s="86" t="str">
        <f>IF(OR(one.analysis,one.refer),"",SUM(M172:M196))</f>
        <v/>
      </c>
      <c r="N197" s="86" t="str">
        <f>IF(OR(one.analysis,one.refer),"",SUM(N172:N196))</f>
        <v/>
      </c>
      <c r="O197" s="110" t="str">
        <f>IF(OR(one.analysis,one.refer),"",(L197-K197)/(N197-M197))</f>
        <v/>
      </c>
    </row>
    <row r="199" spans="2:18" ht="15.75" x14ac:dyDescent="0.25">
      <c r="C199" s="79" t="str">
        <f>IF(C172="","",delta&amp;"s{1}^{"&amp;base&amp;","&amp;launch&amp;"} = ")</f>
        <v/>
      </c>
      <c r="D199" s="111" t="str">
        <f>IF(C172="","",delta&amp;"x{1}^{"&amp;base&amp;","&amp;launch&amp;"}/"&amp;delta&amp;"X^{"&amp;base&amp;","&amp;launch)</f>
        <v/>
      </c>
      <c r="J199" s="79" t="str">
        <f>IF(one.refer,"",delta&amp;"s{i}^{"&amp;base&amp;","&amp;launch&amp;"} = ")</f>
        <v/>
      </c>
      <c r="K199" s="111" t="str">
        <f>IF(one.refer,"","(x{1}^"&amp;launch&amp;" - x{1}^"&amp;base&amp;" ) / (X{1}^"&amp;launch&amp;" - X{1}^"&amp;base&amp;" )")</f>
        <v/>
      </c>
    </row>
    <row r="200" spans="2:18" ht="15.75" x14ac:dyDescent="0.25">
      <c r="C200" s="257" t="str">
        <f>IF(C172="","","= ")</f>
        <v/>
      </c>
      <c r="D200" s="111" t="str">
        <f>IF(C172="","",$F$172&amp;"/"&amp;TEXT($F$197,"#,###"))</f>
        <v/>
      </c>
      <c r="J200" s="44" t="str">
        <f>IF(one.refer,"","= ")</f>
        <v/>
      </c>
      <c r="K200" s="112" t="str">
        <f>IF(OR(one.analysis,one.refer),"","( "&amp;TEXT($L$172,"#,###")&amp;" - "&amp;TEXT($K$172,"#,###")&amp;") / ( "&amp;TEXT($N$172,"#,###")&amp;"- "&amp;TEXT(M$172,"#,###")&amp;" )")</f>
        <v/>
      </c>
      <c r="L200" s="256"/>
    </row>
    <row r="201" spans="2:18" ht="15.75" x14ac:dyDescent="0.25">
      <c r="C201" s="257" t="str">
        <f>IF(C172="","","= ")</f>
        <v/>
      </c>
      <c r="D201" s="258" t="str">
        <f>IF(C172="","",$F$172/$F$197)</f>
        <v/>
      </c>
      <c r="J201" s="44" t="str">
        <f>IF(one.refer,"","= ")</f>
        <v/>
      </c>
      <c r="K201" s="112" t="str">
        <f>IF(OR(one.analysis,one.refer),"",($L$172-$K$172)/($N$172-M$172))</f>
        <v/>
      </c>
      <c r="L201" s="256"/>
    </row>
    <row r="204" spans="2:18" x14ac:dyDescent="0.25">
      <c r="B204" t="s">
        <v>135</v>
      </c>
      <c r="J204" t="s">
        <v>78</v>
      </c>
    </row>
    <row r="205" spans="2:18" ht="15.75" thickBot="1" x14ac:dyDescent="0.3">
      <c r="P205" s="113"/>
    </row>
    <row r="206" spans="2:18" ht="15.75" x14ac:dyDescent="0.25">
      <c r="B206" s="15" t="str">
        <f>IF(OR(one.analysis,NOT(one.refer)),"","Component")</f>
        <v/>
      </c>
      <c r="C206" s="74" t="str">
        <f>IF(one.analysis,"",IF(one.refer,study.label,""))</f>
        <v/>
      </c>
      <c r="D206" s="51" t="str">
        <f>IF(one.analysis,"",IF(one.refer,variable,""))</f>
        <v/>
      </c>
      <c r="E206" s="51" t="str">
        <f>IF(one.analysis,"",IF(one.refer,"Share of",""))</f>
        <v/>
      </c>
      <c r="F206" s="74" t="str">
        <f>IF(one.analysis,"",IF(one.refer,"Projected",""))</f>
        <v/>
      </c>
      <c r="G206" s="94" t="str">
        <f>IF(one.analysis,"",IF(one.refer,variable,""))</f>
        <v/>
      </c>
      <c r="H206" s="53" t="str">
        <f>IF(one.analysis,"",IF(one.refer,"Growth Rate",""))</f>
        <v/>
      </c>
      <c r="J206" s="15" t="s">
        <v>45</v>
      </c>
      <c r="K206" s="74" t="str">
        <f>IF(one.analysis,"",IF(one.refer,"",study.label))</f>
        <v/>
      </c>
      <c r="L206" s="51" t="str">
        <f>IF(one.analysis,"",IF(one.refer,"",variable))</f>
        <v/>
      </c>
      <c r="M206" s="104" t="str">
        <f>IF(one.analysis,"",IF(one.refer,"",refer.area&amp;" "&amp;variable))</f>
        <v/>
      </c>
      <c r="N206" s="18"/>
      <c r="O206" s="94" t="str">
        <f>IF(one.analysis,"",IF(one.refer,"","Change"))</f>
        <v/>
      </c>
      <c r="P206" s="51" t="str">
        <f>IF(OR(one.analysis,one.refer),"",IF(one.refer,"","Share of"))</f>
        <v/>
      </c>
      <c r="Q206" s="74" t="str">
        <f>IF(one.analysis,"",IF(one.refer,"",variable))</f>
        <v/>
      </c>
      <c r="R206" s="53" t="str">
        <f>IF(one.analysis,"",IF(one.refer,"","Growth Rate"))</f>
        <v/>
      </c>
    </row>
    <row r="207" spans="2:18" ht="15.75" x14ac:dyDescent="0.25">
      <c r="B207" s="22"/>
      <c r="C207" s="75"/>
      <c r="D207" s="55" t="str">
        <f>IF(one.analysis,"",IF(one.refer,launch,""))</f>
        <v/>
      </c>
      <c r="E207" s="55" t="str">
        <f>IF(one.analysis,"",IF(one.refer,"Change",""))</f>
        <v/>
      </c>
      <c r="F207" s="75" t="str">
        <f>IF(one.analysis,"",IF(one.refer,"Change",""))</f>
        <v/>
      </c>
      <c r="G207" s="95" t="str">
        <f>IF(one.analysis,"",IF(one.refer,target,""))</f>
        <v/>
      </c>
      <c r="H207" s="57"/>
      <c r="J207" s="22"/>
      <c r="K207" s="75"/>
      <c r="L207" s="55" t="str">
        <f>IF(one.analysis,"",IF(one.refer,"",launch))</f>
        <v/>
      </c>
      <c r="M207" s="55" t="str">
        <f>IF(one.analysis,"",IF(one.refer,"",launch))</f>
        <v/>
      </c>
      <c r="N207" s="75" t="str">
        <f>IF(one.analysis,"",IF(one.refer,"",target))</f>
        <v/>
      </c>
      <c r="O207" s="95"/>
      <c r="P207" s="55" t="str">
        <f>IF(OR(one.analysis,one.refer),"",IF(one.refer,"","Change"))</f>
        <v/>
      </c>
      <c r="Q207" s="75" t="str">
        <f>IF(one.analysis,"",IF(one.refer,"",target))</f>
        <v/>
      </c>
      <c r="R207" s="57"/>
    </row>
    <row r="208" spans="2:18" ht="15.75" x14ac:dyDescent="0.25">
      <c r="B208" s="40" t="str">
        <f>IF(OR(one.analysis,NOT(one.refer)),"","i")</f>
        <v/>
      </c>
      <c r="C208" s="75"/>
      <c r="D208" s="96" t="str">
        <f>IF(one.analysis,"",IF(one.refer,"xi^"&amp;launch,""))</f>
        <v/>
      </c>
      <c r="E208" s="106" t="str">
        <f>IF(one.analysis,"",IF(one.refer,delta&amp;"si^"&amp;base&amp;","&amp;launch,""))</f>
        <v/>
      </c>
      <c r="F208" s="106" t="str">
        <f>IF(one.analysis,"",IF(one.refer,delta&amp;"xi^"&amp;base&amp;","&amp;target,""))</f>
        <v/>
      </c>
      <c r="G208" s="97" t="str">
        <f>IF(one.analysis,"",IF(one.refer,"xi^"&amp;target,""))</f>
        <v/>
      </c>
      <c r="H208" s="57" t="str">
        <f>IF(one.analysis,"",IF(one.refer,"ri^"&amp;base&amp;","&amp;target,""))</f>
        <v/>
      </c>
      <c r="J208" s="80" t="s">
        <v>55</v>
      </c>
      <c r="K208" s="75"/>
      <c r="L208" s="96" t="str">
        <f>IF(one.analysis,"",IF(one.refer,"","xi^"&amp;launch))</f>
        <v/>
      </c>
      <c r="M208" s="96" t="str">
        <f>IF(one.analysis,"",IF(one.refer,"","Xi^"&amp;launch))</f>
        <v/>
      </c>
      <c r="N208" s="96" t="str">
        <f>IF(one.analysis,"",IF(one.refer,"","Xi^"&amp;target))</f>
        <v/>
      </c>
      <c r="O208" s="106" t="str">
        <f>IF(one.analysis,"",IF(one.refer,"",delta&amp;"Xi^"&amp;base&amp;","&amp;target))</f>
        <v/>
      </c>
      <c r="P208" s="106" t="str">
        <f>IF(OR(one.analysis,one.refer),"",IF(one.refer,"",delta&amp;"si^"&amp;base&amp;","&amp;launch))</f>
        <v/>
      </c>
      <c r="Q208" s="96" t="str">
        <f>IF(one.analysis,"",IF(one.refer,"","xi^"&amp;target))</f>
        <v/>
      </c>
      <c r="R208" s="57" t="str">
        <f>IF(one.analysis,"",IF(one.refer,"","ri^"&amp;base&amp;","&amp;target))</f>
        <v/>
      </c>
    </row>
    <row r="209" spans="2:18" ht="15.75" x14ac:dyDescent="0.25">
      <c r="B209" s="59" t="s">
        <v>0</v>
      </c>
      <c r="C209" s="61" t="s">
        <v>1</v>
      </c>
      <c r="D209" s="61" t="s">
        <v>2</v>
      </c>
      <c r="E209" s="61" t="s">
        <v>3</v>
      </c>
      <c r="F209" s="61" t="s">
        <v>4</v>
      </c>
      <c r="G209" s="78" t="s">
        <v>5</v>
      </c>
      <c r="H209" s="62" t="s">
        <v>6</v>
      </c>
      <c r="J209" s="59" t="s">
        <v>0</v>
      </c>
      <c r="K209" s="61" t="s">
        <v>1</v>
      </c>
      <c r="L209" s="61" t="s">
        <v>2</v>
      </c>
      <c r="M209" s="61" t="s">
        <v>3</v>
      </c>
      <c r="N209" s="61" t="s">
        <v>4</v>
      </c>
      <c r="O209" s="78" t="s">
        <v>5</v>
      </c>
      <c r="P209" s="61" t="s">
        <v>6</v>
      </c>
      <c r="Q209" s="61" t="s">
        <v>60</v>
      </c>
      <c r="R209" s="62" t="s">
        <v>61</v>
      </c>
    </row>
    <row r="210" spans="2:18" ht="15.75" x14ac:dyDescent="0.25">
      <c r="B210" s="80">
        <v>1</v>
      </c>
      <c r="C210" s="64" t="str">
        <f>IF(one.analysis,"",IF(one.refer,Input!E11,""))</f>
        <v/>
      </c>
      <c r="D210" s="41" t="str">
        <f>IF(C210="","",Input!G11)</f>
        <v/>
      </c>
      <c r="E210" s="114" t="str">
        <f t="shared" ref="E210:E234" si="17">IF(C210="","",G172)</f>
        <v/>
      </c>
      <c r="F210" s="41" t="str">
        <f t="shared" ref="F210" si="18">IF(C210="","",E210*(X.target-X.launch))</f>
        <v/>
      </c>
      <c r="G210" s="99" t="str">
        <f t="shared" ref="G210" si="19">IF(C210="","",D210+F210)</f>
        <v/>
      </c>
      <c r="H210" s="67" t="str">
        <f t="shared" ref="H210" si="20">IF(D210="","",ROUND(((G210-D210)/D210),3))</f>
        <v/>
      </c>
      <c r="J210" s="80">
        <v>1</v>
      </c>
      <c r="K210" s="64" t="str">
        <f>IF(Input!E11="","",IF(one.refer,"",Input!E11))</f>
        <v/>
      </c>
      <c r="L210" s="65" t="str">
        <f>IF(K210="","",IF(one.refer,"",Input!G11))</f>
        <v/>
      </c>
      <c r="M210" s="65" t="str">
        <f>IF(K210="","",Input!K11)</f>
        <v/>
      </c>
      <c r="N210" s="65" t="str">
        <f>IF(K210="","",Input!L11)</f>
        <v/>
      </c>
      <c r="O210" s="65" t="str">
        <f t="shared" ref="O210:O234" si="21">IF(K210="","",N210-M210)</f>
        <v/>
      </c>
      <c r="P210" s="115" t="str">
        <f t="shared" ref="P210:P234" si="22">IF(K210="","",O172)</f>
        <v/>
      </c>
      <c r="Q210" s="99" t="str">
        <f t="shared" ref="Q210:Q234" si="23">IF(K210="","",adjust*(L210+(O210*P210)))</f>
        <v/>
      </c>
      <c r="R210" s="67" t="str">
        <f t="shared" ref="R210:R234" si="24">IF(K210="","",ROUND(((Q210-L210)/L210),3))</f>
        <v/>
      </c>
    </row>
    <row r="211" spans="2:18" ht="15.75" x14ac:dyDescent="0.25">
      <c r="B211" s="80">
        <v>2</v>
      </c>
      <c r="C211" s="64" t="str">
        <f>IF(Input!E12="","",IF(one.refer,Input!E12,""))</f>
        <v/>
      </c>
      <c r="D211" s="41" t="str">
        <f>IF(C211="","",Input!G12)</f>
        <v/>
      </c>
      <c r="E211" s="114" t="str">
        <f t="shared" si="17"/>
        <v/>
      </c>
      <c r="F211" s="41" t="str">
        <f t="shared" ref="F211:F234" si="25">IF(C211="","",E211*(X.target-X.launch))</f>
        <v/>
      </c>
      <c r="G211" s="99" t="str">
        <f t="shared" ref="G211:G234" si="26">IF(C211="","",D211+F211)</f>
        <v/>
      </c>
      <c r="H211" s="67" t="str">
        <f t="shared" ref="H211:H234" si="27">IF(D211="","",ROUND(((G211-D211)/D211),3))</f>
        <v/>
      </c>
      <c r="J211" s="80">
        <v>2</v>
      </c>
      <c r="K211" s="64" t="str">
        <f>IF(Input!E12="","",IF(one.refer,"",Input!E12))</f>
        <v/>
      </c>
      <c r="L211" s="65" t="str">
        <f>IF(K211="","",IF(one.refer,"",Input!G12))</f>
        <v/>
      </c>
      <c r="M211" s="65" t="str">
        <f>IF(K211="","",Input!K12)</f>
        <v/>
      </c>
      <c r="N211" s="65" t="str">
        <f>IF(K211="","",Input!L12)</f>
        <v/>
      </c>
      <c r="O211" s="65" t="str">
        <f t="shared" si="21"/>
        <v/>
      </c>
      <c r="P211" s="115" t="str">
        <f t="shared" si="22"/>
        <v/>
      </c>
      <c r="Q211" s="99" t="str">
        <f t="shared" si="23"/>
        <v/>
      </c>
      <c r="R211" s="67" t="str">
        <f t="shared" si="24"/>
        <v/>
      </c>
    </row>
    <row r="212" spans="2:18" ht="15.75" x14ac:dyDescent="0.25">
      <c r="B212" s="80">
        <v>3</v>
      </c>
      <c r="C212" s="64" t="str">
        <f>IF(Input!E13="","",IF(one.refer,Input!E13,""))</f>
        <v/>
      </c>
      <c r="D212" s="41" t="str">
        <f>IF(C212="","",Input!G13)</f>
        <v/>
      </c>
      <c r="E212" s="114" t="str">
        <f t="shared" si="17"/>
        <v/>
      </c>
      <c r="F212" s="41" t="str">
        <f t="shared" si="25"/>
        <v/>
      </c>
      <c r="G212" s="99" t="str">
        <f t="shared" si="26"/>
        <v/>
      </c>
      <c r="H212" s="67" t="str">
        <f t="shared" si="27"/>
        <v/>
      </c>
      <c r="J212" s="80">
        <v>3</v>
      </c>
      <c r="K212" s="64" t="str">
        <f>IF(Input!E13="","",IF(one.refer,"",Input!E13))</f>
        <v/>
      </c>
      <c r="L212" s="65" t="str">
        <f>IF(K212="","",IF(one.refer,"",Input!G13))</f>
        <v/>
      </c>
      <c r="M212" s="65" t="str">
        <f>IF(K212="","",Input!K13)</f>
        <v/>
      </c>
      <c r="N212" s="65" t="str">
        <f>IF(K212="","",Input!L13)</f>
        <v/>
      </c>
      <c r="O212" s="65" t="str">
        <f t="shared" si="21"/>
        <v/>
      </c>
      <c r="P212" s="115" t="str">
        <f t="shared" si="22"/>
        <v/>
      </c>
      <c r="Q212" s="99" t="str">
        <f t="shared" si="23"/>
        <v/>
      </c>
      <c r="R212" s="67" t="str">
        <f t="shared" si="24"/>
        <v/>
      </c>
    </row>
    <row r="213" spans="2:18" ht="15.75" x14ac:dyDescent="0.25">
      <c r="B213" s="80">
        <v>4</v>
      </c>
      <c r="C213" s="64" t="str">
        <f>IF(Input!E14="","",IF(one.refer,Input!E14,""))</f>
        <v/>
      </c>
      <c r="D213" s="41" t="str">
        <f>IF(C213="","",Input!G14)</f>
        <v/>
      </c>
      <c r="E213" s="114" t="str">
        <f t="shared" si="17"/>
        <v/>
      </c>
      <c r="F213" s="41" t="str">
        <f t="shared" si="25"/>
        <v/>
      </c>
      <c r="G213" s="99" t="str">
        <f t="shared" si="26"/>
        <v/>
      </c>
      <c r="H213" s="67" t="str">
        <f t="shared" si="27"/>
        <v/>
      </c>
      <c r="J213" s="80">
        <v>4</v>
      </c>
      <c r="K213" s="64" t="str">
        <f>IF(Input!E14="","",IF(one.refer,"",Input!E14))</f>
        <v/>
      </c>
      <c r="L213" s="65" t="str">
        <f>IF(K213="","",IF(one.refer,"",Input!G14))</f>
        <v/>
      </c>
      <c r="M213" s="65" t="str">
        <f>IF(K213="","",Input!K14)</f>
        <v/>
      </c>
      <c r="N213" s="65" t="str">
        <f>IF(K213="","",Input!L14)</f>
        <v/>
      </c>
      <c r="O213" s="65" t="str">
        <f t="shared" si="21"/>
        <v/>
      </c>
      <c r="P213" s="115" t="str">
        <f t="shared" si="22"/>
        <v/>
      </c>
      <c r="Q213" s="99" t="str">
        <f t="shared" si="23"/>
        <v/>
      </c>
      <c r="R213" s="67" t="str">
        <f t="shared" si="24"/>
        <v/>
      </c>
    </row>
    <row r="214" spans="2:18" ht="15.75" x14ac:dyDescent="0.25">
      <c r="B214" s="80">
        <v>5</v>
      </c>
      <c r="C214" s="64" t="str">
        <f>IF(Input!E15="","",IF(one.refer,Input!E15,""))</f>
        <v/>
      </c>
      <c r="D214" s="41" t="str">
        <f>IF(C214="","",Input!G15)</f>
        <v/>
      </c>
      <c r="E214" s="114" t="str">
        <f t="shared" si="17"/>
        <v/>
      </c>
      <c r="F214" s="41" t="str">
        <f t="shared" si="25"/>
        <v/>
      </c>
      <c r="G214" s="99" t="str">
        <f t="shared" si="26"/>
        <v/>
      </c>
      <c r="H214" s="67" t="str">
        <f t="shared" si="27"/>
        <v/>
      </c>
      <c r="J214" s="80">
        <v>5</v>
      </c>
      <c r="K214" s="64" t="str">
        <f>IF(Input!E15="","",IF(one.refer,"",Input!E15))</f>
        <v/>
      </c>
      <c r="L214" s="65" t="str">
        <f>IF(K214="","",IF(one.refer,"",Input!G15))</f>
        <v/>
      </c>
      <c r="M214" s="65" t="str">
        <f>IF(K214="","",Input!K15)</f>
        <v/>
      </c>
      <c r="N214" s="65" t="str">
        <f>IF(K214="","",Input!L15)</f>
        <v/>
      </c>
      <c r="O214" s="65" t="str">
        <f t="shared" si="21"/>
        <v/>
      </c>
      <c r="P214" s="115" t="str">
        <f t="shared" si="22"/>
        <v/>
      </c>
      <c r="Q214" s="99" t="str">
        <f t="shared" si="23"/>
        <v/>
      </c>
      <c r="R214" s="67" t="str">
        <f t="shared" si="24"/>
        <v/>
      </c>
    </row>
    <row r="215" spans="2:18" ht="15.75" x14ac:dyDescent="0.25">
      <c r="B215" s="80">
        <v>6</v>
      </c>
      <c r="C215" s="64" t="str">
        <f>IF(Input!E16="","",IF(one.refer,Input!E16,""))</f>
        <v/>
      </c>
      <c r="D215" s="41" t="str">
        <f>IF(C215="","",Input!G16)</f>
        <v/>
      </c>
      <c r="E215" s="114" t="str">
        <f t="shared" si="17"/>
        <v/>
      </c>
      <c r="F215" s="41" t="str">
        <f t="shared" si="25"/>
        <v/>
      </c>
      <c r="G215" s="99" t="str">
        <f t="shared" si="26"/>
        <v/>
      </c>
      <c r="H215" s="67" t="str">
        <f t="shared" si="27"/>
        <v/>
      </c>
      <c r="J215" s="80">
        <v>6</v>
      </c>
      <c r="K215" s="64" t="str">
        <f>IF(Input!E16="","",IF(one.refer,"",Input!E16))</f>
        <v/>
      </c>
      <c r="L215" s="65" t="str">
        <f>IF(K215="","",IF(one.refer,"",Input!G16))</f>
        <v/>
      </c>
      <c r="M215" s="65" t="str">
        <f>IF(K215="","",Input!K16)</f>
        <v/>
      </c>
      <c r="N215" s="65" t="str">
        <f>IF(K215="","",Input!L16)</f>
        <v/>
      </c>
      <c r="O215" s="65" t="str">
        <f t="shared" si="21"/>
        <v/>
      </c>
      <c r="P215" s="115" t="str">
        <f t="shared" si="22"/>
        <v/>
      </c>
      <c r="Q215" s="99" t="str">
        <f t="shared" si="23"/>
        <v/>
      </c>
      <c r="R215" s="67" t="str">
        <f t="shared" si="24"/>
        <v/>
      </c>
    </row>
    <row r="216" spans="2:18" ht="15.75" x14ac:dyDescent="0.25">
      <c r="B216" s="80">
        <v>7</v>
      </c>
      <c r="C216" s="64" t="str">
        <f>IF(Input!E17="","",IF(one.refer,Input!E17,""))</f>
        <v/>
      </c>
      <c r="D216" s="41" t="str">
        <f>IF(C216="","",Input!G17)</f>
        <v/>
      </c>
      <c r="E216" s="114" t="str">
        <f t="shared" si="17"/>
        <v/>
      </c>
      <c r="F216" s="41" t="str">
        <f t="shared" si="25"/>
        <v/>
      </c>
      <c r="G216" s="99" t="str">
        <f t="shared" si="26"/>
        <v/>
      </c>
      <c r="H216" s="67" t="str">
        <f t="shared" si="27"/>
        <v/>
      </c>
      <c r="J216" s="80">
        <v>7</v>
      </c>
      <c r="K216" s="64" t="str">
        <f>IF(Input!E17="","",IF(one.refer,"",Input!E17))</f>
        <v/>
      </c>
      <c r="L216" s="65" t="str">
        <f>IF(K216="","",IF(one.refer,"",Input!G17))</f>
        <v/>
      </c>
      <c r="M216" s="65" t="str">
        <f>IF(K216="","",Input!K17)</f>
        <v/>
      </c>
      <c r="N216" s="65" t="str">
        <f>IF(K216="","",Input!L17)</f>
        <v/>
      </c>
      <c r="O216" s="65" t="str">
        <f t="shared" si="21"/>
        <v/>
      </c>
      <c r="P216" s="115" t="str">
        <f t="shared" si="22"/>
        <v/>
      </c>
      <c r="Q216" s="99" t="str">
        <f t="shared" si="23"/>
        <v/>
      </c>
      <c r="R216" s="67" t="str">
        <f t="shared" si="24"/>
        <v/>
      </c>
    </row>
    <row r="217" spans="2:18" ht="15.75" x14ac:dyDescent="0.25">
      <c r="B217" s="80">
        <v>8</v>
      </c>
      <c r="C217" s="64" t="str">
        <f>IF(Input!E18="","",IF(one.refer,Input!E18,""))</f>
        <v/>
      </c>
      <c r="D217" s="41" t="str">
        <f>IF(C217="","",Input!G18)</f>
        <v/>
      </c>
      <c r="E217" s="114" t="str">
        <f t="shared" si="17"/>
        <v/>
      </c>
      <c r="F217" s="41" t="str">
        <f t="shared" si="25"/>
        <v/>
      </c>
      <c r="G217" s="99" t="str">
        <f t="shared" si="26"/>
        <v/>
      </c>
      <c r="H217" s="67" t="str">
        <f t="shared" si="27"/>
        <v/>
      </c>
      <c r="J217" s="80">
        <v>8</v>
      </c>
      <c r="K217" s="64" t="str">
        <f>IF(Input!E18="","",IF(one.refer,"",Input!E18))</f>
        <v/>
      </c>
      <c r="L217" s="65" t="str">
        <f>IF(K217="","",IF(one.refer,"",Input!G18))</f>
        <v/>
      </c>
      <c r="M217" s="65" t="str">
        <f>IF(K217="","",Input!K18)</f>
        <v/>
      </c>
      <c r="N217" s="65" t="str">
        <f>IF(K217="","",Input!L18)</f>
        <v/>
      </c>
      <c r="O217" s="65" t="str">
        <f t="shared" si="21"/>
        <v/>
      </c>
      <c r="P217" s="115" t="str">
        <f t="shared" si="22"/>
        <v/>
      </c>
      <c r="Q217" s="99" t="str">
        <f t="shared" si="23"/>
        <v/>
      </c>
      <c r="R217" s="67" t="str">
        <f t="shared" si="24"/>
        <v/>
      </c>
    </row>
    <row r="218" spans="2:18" ht="15.75" x14ac:dyDescent="0.25">
      <c r="B218" s="80">
        <v>9</v>
      </c>
      <c r="C218" s="64" t="str">
        <f>IF(Input!E19="","",IF(one.refer,Input!E19,""))</f>
        <v/>
      </c>
      <c r="D218" s="41" t="str">
        <f>IF(C218="","",Input!G19)</f>
        <v/>
      </c>
      <c r="E218" s="114" t="str">
        <f t="shared" si="17"/>
        <v/>
      </c>
      <c r="F218" s="41" t="str">
        <f t="shared" si="25"/>
        <v/>
      </c>
      <c r="G218" s="99" t="str">
        <f t="shared" si="26"/>
        <v/>
      </c>
      <c r="H218" s="67" t="str">
        <f t="shared" si="27"/>
        <v/>
      </c>
      <c r="J218" s="80">
        <v>9</v>
      </c>
      <c r="K218" s="64" t="str">
        <f>IF(Input!E19="","",IF(one.refer,"",Input!E19))</f>
        <v/>
      </c>
      <c r="L218" s="65" t="str">
        <f>IF(K218="","",IF(one.refer,"",Input!G19))</f>
        <v/>
      </c>
      <c r="M218" s="65" t="str">
        <f>IF(K218="","",Input!K19)</f>
        <v/>
      </c>
      <c r="N218" s="65" t="str">
        <f>IF(K218="","",Input!L19)</f>
        <v/>
      </c>
      <c r="O218" s="65" t="str">
        <f t="shared" si="21"/>
        <v/>
      </c>
      <c r="P218" s="115" t="str">
        <f t="shared" si="22"/>
        <v/>
      </c>
      <c r="Q218" s="99" t="str">
        <f t="shared" si="23"/>
        <v/>
      </c>
      <c r="R218" s="67" t="str">
        <f t="shared" si="24"/>
        <v/>
      </c>
    </row>
    <row r="219" spans="2:18" ht="15.75" x14ac:dyDescent="0.25">
      <c r="B219" s="80">
        <v>10</v>
      </c>
      <c r="C219" s="64" t="str">
        <f>IF(Input!E20="","",IF(one.refer,Input!E20,""))</f>
        <v/>
      </c>
      <c r="D219" s="41" t="str">
        <f>IF(C219="","",Input!G20)</f>
        <v/>
      </c>
      <c r="E219" s="114" t="str">
        <f t="shared" si="17"/>
        <v/>
      </c>
      <c r="F219" s="41" t="str">
        <f t="shared" si="25"/>
        <v/>
      </c>
      <c r="G219" s="99" t="str">
        <f t="shared" si="26"/>
        <v/>
      </c>
      <c r="H219" s="67" t="str">
        <f t="shared" si="27"/>
        <v/>
      </c>
      <c r="J219" s="80">
        <v>10</v>
      </c>
      <c r="K219" s="64" t="str">
        <f>IF(Input!E20="","",IF(one.refer,"",Input!E20))</f>
        <v/>
      </c>
      <c r="L219" s="65" t="str">
        <f>IF(K219="","",IF(one.refer,"",Input!G20))</f>
        <v/>
      </c>
      <c r="M219" s="65" t="str">
        <f>IF(K219="","",Input!K20)</f>
        <v/>
      </c>
      <c r="N219" s="65" t="str">
        <f>IF(K219="","",Input!L20)</f>
        <v/>
      </c>
      <c r="O219" s="65" t="str">
        <f t="shared" si="21"/>
        <v/>
      </c>
      <c r="P219" s="115" t="str">
        <f t="shared" si="22"/>
        <v/>
      </c>
      <c r="Q219" s="99" t="str">
        <f t="shared" si="23"/>
        <v/>
      </c>
      <c r="R219" s="67" t="str">
        <f t="shared" si="24"/>
        <v/>
      </c>
    </row>
    <row r="220" spans="2:18" ht="15.75" x14ac:dyDescent="0.25">
      <c r="B220" s="80">
        <v>11</v>
      </c>
      <c r="C220" s="64" t="str">
        <f>IF(Input!E21="","",IF(one.refer,Input!E21,""))</f>
        <v/>
      </c>
      <c r="D220" s="41" t="str">
        <f>IF(C220="","",Input!G21)</f>
        <v/>
      </c>
      <c r="E220" s="114" t="str">
        <f t="shared" si="17"/>
        <v/>
      </c>
      <c r="F220" s="41" t="str">
        <f t="shared" si="25"/>
        <v/>
      </c>
      <c r="G220" s="99" t="str">
        <f t="shared" si="26"/>
        <v/>
      </c>
      <c r="H220" s="67" t="str">
        <f t="shared" si="27"/>
        <v/>
      </c>
      <c r="J220" s="80">
        <v>11</v>
      </c>
      <c r="K220" s="64" t="str">
        <f>IF(Input!E21="","",IF(one.refer,"",Input!E21))</f>
        <v/>
      </c>
      <c r="L220" s="65" t="str">
        <f>IF(K220="","",IF(one.refer,"",Input!G21))</f>
        <v/>
      </c>
      <c r="M220" s="65" t="str">
        <f>IF(K220="","",Input!K21)</f>
        <v/>
      </c>
      <c r="N220" s="65" t="str">
        <f>IF(K220="","",Input!L21)</f>
        <v/>
      </c>
      <c r="O220" s="65" t="str">
        <f t="shared" si="21"/>
        <v/>
      </c>
      <c r="P220" s="115" t="str">
        <f t="shared" si="22"/>
        <v/>
      </c>
      <c r="Q220" s="99" t="str">
        <f t="shared" si="23"/>
        <v/>
      </c>
      <c r="R220" s="67" t="str">
        <f t="shared" si="24"/>
        <v/>
      </c>
    </row>
    <row r="221" spans="2:18" ht="15.75" x14ac:dyDescent="0.25">
      <c r="B221" s="80">
        <v>12</v>
      </c>
      <c r="C221" s="64" t="str">
        <f>IF(Input!E22="","",IF(one.refer,Input!E22,""))</f>
        <v/>
      </c>
      <c r="D221" s="41" t="str">
        <f>IF(C221="","",Input!G22)</f>
        <v/>
      </c>
      <c r="E221" s="114" t="str">
        <f t="shared" si="17"/>
        <v/>
      </c>
      <c r="F221" s="41" t="str">
        <f t="shared" si="25"/>
        <v/>
      </c>
      <c r="G221" s="99" t="str">
        <f t="shared" si="26"/>
        <v/>
      </c>
      <c r="H221" s="67" t="str">
        <f t="shared" si="27"/>
        <v/>
      </c>
      <c r="J221" s="80">
        <v>12</v>
      </c>
      <c r="K221" s="64" t="str">
        <f>IF(Input!E22="","",IF(one.refer,"",Input!E22))</f>
        <v/>
      </c>
      <c r="L221" s="65" t="str">
        <f>IF(K221="","",IF(one.refer,"",Input!G22))</f>
        <v/>
      </c>
      <c r="M221" s="65" t="str">
        <f>IF(K221="","",Input!K22)</f>
        <v/>
      </c>
      <c r="N221" s="65" t="str">
        <f>IF(K221="","",Input!L22)</f>
        <v/>
      </c>
      <c r="O221" s="65" t="str">
        <f t="shared" si="21"/>
        <v/>
      </c>
      <c r="P221" s="115" t="str">
        <f t="shared" si="22"/>
        <v/>
      </c>
      <c r="Q221" s="99" t="str">
        <f t="shared" si="23"/>
        <v/>
      </c>
      <c r="R221" s="67" t="str">
        <f t="shared" si="24"/>
        <v/>
      </c>
    </row>
    <row r="222" spans="2:18" ht="15.75" x14ac:dyDescent="0.25">
      <c r="B222" s="80">
        <v>13</v>
      </c>
      <c r="C222" s="64" t="str">
        <f>IF(Input!E23="","",IF(one.refer,Input!E23,""))</f>
        <v/>
      </c>
      <c r="D222" s="41" t="str">
        <f>IF(C222="","",Input!G23)</f>
        <v/>
      </c>
      <c r="E222" s="114" t="str">
        <f t="shared" si="17"/>
        <v/>
      </c>
      <c r="F222" s="41" t="str">
        <f t="shared" si="25"/>
        <v/>
      </c>
      <c r="G222" s="99" t="str">
        <f t="shared" si="26"/>
        <v/>
      </c>
      <c r="H222" s="67" t="str">
        <f t="shared" si="27"/>
        <v/>
      </c>
      <c r="J222" s="80">
        <v>13</v>
      </c>
      <c r="K222" s="64" t="str">
        <f>IF(Input!E23="","",IF(one.refer,"",Input!E23))</f>
        <v/>
      </c>
      <c r="L222" s="65" t="str">
        <f>IF(K222="","",IF(one.refer,"",Input!G23))</f>
        <v/>
      </c>
      <c r="M222" s="65" t="str">
        <f>IF(K222="","",Input!K23)</f>
        <v/>
      </c>
      <c r="N222" s="65" t="str">
        <f>IF(K222="","",Input!L23)</f>
        <v/>
      </c>
      <c r="O222" s="65" t="str">
        <f t="shared" si="21"/>
        <v/>
      </c>
      <c r="P222" s="115" t="str">
        <f t="shared" si="22"/>
        <v/>
      </c>
      <c r="Q222" s="99" t="str">
        <f t="shared" si="23"/>
        <v/>
      </c>
      <c r="R222" s="67" t="str">
        <f t="shared" si="24"/>
        <v/>
      </c>
    </row>
    <row r="223" spans="2:18" ht="15.75" x14ac:dyDescent="0.25">
      <c r="B223" s="80">
        <v>14</v>
      </c>
      <c r="C223" s="64" t="str">
        <f>IF(Input!E24="","",IF(one.refer,Input!E24,""))</f>
        <v/>
      </c>
      <c r="D223" s="41" t="str">
        <f>IF(C223="","",Input!G24)</f>
        <v/>
      </c>
      <c r="E223" s="114" t="str">
        <f t="shared" si="17"/>
        <v/>
      </c>
      <c r="F223" s="41" t="str">
        <f t="shared" si="25"/>
        <v/>
      </c>
      <c r="G223" s="99" t="str">
        <f t="shared" si="26"/>
        <v/>
      </c>
      <c r="H223" s="67" t="str">
        <f t="shared" si="27"/>
        <v/>
      </c>
      <c r="J223" s="80">
        <v>14</v>
      </c>
      <c r="K223" s="64" t="str">
        <f>IF(Input!E24="","",IF(one.refer,"",Input!E24))</f>
        <v/>
      </c>
      <c r="L223" s="65" t="str">
        <f>IF(K223="","",IF(one.refer,"",Input!G24))</f>
        <v/>
      </c>
      <c r="M223" s="65" t="str">
        <f>IF(K223="","",Input!K24)</f>
        <v/>
      </c>
      <c r="N223" s="65" t="str">
        <f>IF(K223="","",Input!L24)</f>
        <v/>
      </c>
      <c r="O223" s="65" t="str">
        <f t="shared" si="21"/>
        <v/>
      </c>
      <c r="P223" s="115" t="str">
        <f t="shared" si="22"/>
        <v/>
      </c>
      <c r="Q223" s="99" t="str">
        <f t="shared" si="23"/>
        <v/>
      </c>
      <c r="R223" s="67" t="str">
        <f t="shared" si="24"/>
        <v/>
      </c>
    </row>
    <row r="224" spans="2:18" ht="15.75" x14ac:dyDescent="0.25">
      <c r="B224" s="80">
        <v>15</v>
      </c>
      <c r="C224" s="64" t="str">
        <f>IF(Input!E25="","",IF(one.refer,Input!E25,""))</f>
        <v/>
      </c>
      <c r="D224" s="41" t="str">
        <f>IF(C224="","",Input!G25)</f>
        <v/>
      </c>
      <c r="E224" s="114" t="str">
        <f t="shared" si="17"/>
        <v/>
      </c>
      <c r="F224" s="41" t="str">
        <f t="shared" si="25"/>
        <v/>
      </c>
      <c r="G224" s="99" t="str">
        <f t="shared" si="26"/>
        <v/>
      </c>
      <c r="H224" s="67" t="str">
        <f t="shared" si="27"/>
        <v/>
      </c>
      <c r="J224" s="80">
        <v>15</v>
      </c>
      <c r="K224" s="64" t="str">
        <f>IF(Input!E25="","",IF(one.refer,"",Input!E25))</f>
        <v/>
      </c>
      <c r="L224" s="65" t="str">
        <f>IF(K224="","",IF(one.refer,"",Input!G25))</f>
        <v/>
      </c>
      <c r="M224" s="65" t="str">
        <f>IF(K224="","",Input!K25)</f>
        <v/>
      </c>
      <c r="N224" s="65" t="str">
        <f>IF(K224="","",Input!L25)</f>
        <v/>
      </c>
      <c r="O224" s="65" t="str">
        <f t="shared" si="21"/>
        <v/>
      </c>
      <c r="P224" s="115" t="str">
        <f t="shared" si="22"/>
        <v/>
      </c>
      <c r="Q224" s="99" t="str">
        <f t="shared" si="23"/>
        <v/>
      </c>
      <c r="R224" s="67" t="str">
        <f t="shared" si="24"/>
        <v/>
      </c>
    </row>
    <row r="225" spans="2:18" ht="15.75" x14ac:dyDescent="0.25">
      <c r="B225" s="80">
        <v>16</v>
      </c>
      <c r="C225" s="64" t="str">
        <f>IF(Input!E26="","",IF(one.refer,Input!E26,""))</f>
        <v/>
      </c>
      <c r="D225" s="41" t="str">
        <f>IF(C225="","",Input!G26)</f>
        <v/>
      </c>
      <c r="E225" s="114" t="str">
        <f t="shared" si="17"/>
        <v/>
      </c>
      <c r="F225" s="41" t="str">
        <f t="shared" si="25"/>
        <v/>
      </c>
      <c r="G225" s="99" t="str">
        <f t="shared" si="26"/>
        <v/>
      </c>
      <c r="H225" s="67" t="str">
        <f t="shared" si="27"/>
        <v/>
      </c>
      <c r="J225" s="80">
        <v>16</v>
      </c>
      <c r="K225" s="64" t="str">
        <f>IF(Input!E26="","",IF(one.refer,"",Input!E26))</f>
        <v/>
      </c>
      <c r="L225" s="65" t="str">
        <f>IF(K225="","",IF(one.refer,"",Input!G26))</f>
        <v/>
      </c>
      <c r="M225" s="65" t="str">
        <f>IF(K225="","",Input!K26)</f>
        <v/>
      </c>
      <c r="N225" s="65" t="str">
        <f>IF(K225="","",Input!L26)</f>
        <v/>
      </c>
      <c r="O225" s="65" t="str">
        <f t="shared" si="21"/>
        <v/>
      </c>
      <c r="P225" s="115" t="str">
        <f t="shared" si="22"/>
        <v/>
      </c>
      <c r="Q225" s="99" t="str">
        <f t="shared" si="23"/>
        <v/>
      </c>
      <c r="R225" s="67" t="str">
        <f t="shared" si="24"/>
        <v/>
      </c>
    </row>
    <row r="226" spans="2:18" ht="15.75" x14ac:dyDescent="0.25">
      <c r="B226" s="80">
        <v>17</v>
      </c>
      <c r="C226" s="64" t="str">
        <f>IF(Input!E27="","",IF(one.refer,Input!E27,""))</f>
        <v/>
      </c>
      <c r="D226" s="41" t="str">
        <f>IF(C226="","",Input!G27)</f>
        <v/>
      </c>
      <c r="E226" s="114" t="str">
        <f t="shared" si="17"/>
        <v/>
      </c>
      <c r="F226" s="41" t="str">
        <f t="shared" si="25"/>
        <v/>
      </c>
      <c r="G226" s="99" t="str">
        <f t="shared" si="26"/>
        <v/>
      </c>
      <c r="H226" s="67" t="str">
        <f t="shared" si="27"/>
        <v/>
      </c>
      <c r="J226" s="80">
        <v>17</v>
      </c>
      <c r="K226" s="64" t="str">
        <f>IF(Input!E27="","",IF(one.refer,"",Input!E27))</f>
        <v/>
      </c>
      <c r="L226" s="65" t="str">
        <f>IF(K226="","",IF(one.refer,"",Input!G27))</f>
        <v/>
      </c>
      <c r="M226" s="65" t="str">
        <f>IF(K226="","",Input!K27)</f>
        <v/>
      </c>
      <c r="N226" s="65" t="str">
        <f>IF(K226="","",Input!L27)</f>
        <v/>
      </c>
      <c r="O226" s="65" t="str">
        <f t="shared" si="21"/>
        <v/>
      </c>
      <c r="P226" s="115" t="str">
        <f t="shared" si="22"/>
        <v/>
      </c>
      <c r="Q226" s="99" t="str">
        <f t="shared" si="23"/>
        <v/>
      </c>
      <c r="R226" s="67" t="str">
        <f t="shared" si="24"/>
        <v/>
      </c>
    </row>
    <row r="227" spans="2:18" ht="15.75" x14ac:dyDescent="0.25">
      <c r="B227" s="80">
        <v>18</v>
      </c>
      <c r="C227" s="64" t="str">
        <f>IF(Input!E28="","",IF(one.refer,Input!E28,""))</f>
        <v/>
      </c>
      <c r="D227" s="41" t="str">
        <f>IF(C227="","",Input!G28)</f>
        <v/>
      </c>
      <c r="E227" s="114" t="str">
        <f t="shared" si="17"/>
        <v/>
      </c>
      <c r="F227" s="41" t="str">
        <f t="shared" si="25"/>
        <v/>
      </c>
      <c r="G227" s="99" t="str">
        <f t="shared" si="26"/>
        <v/>
      </c>
      <c r="H227" s="67" t="str">
        <f t="shared" si="27"/>
        <v/>
      </c>
      <c r="J227" s="80">
        <v>18</v>
      </c>
      <c r="K227" s="64" t="str">
        <f>IF(Input!E28="","",IF(one.refer,"",Input!E28))</f>
        <v/>
      </c>
      <c r="L227" s="65" t="str">
        <f>IF(K227="","",IF(one.refer,"",Input!G28))</f>
        <v/>
      </c>
      <c r="M227" s="65" t="str">
        <f>IF(K227="","",Input!K28)</f>
        <v/>
      </c>
      <c r="N227" s="65" t="str">
        <f>IF(K227="","",Input!L28)</f>
        <v/>
      </c>
      <c r="O227" s="65" t="str">
        <f t="shared" si="21"/>
        <v/>
      </c>
      <c r="P227" s="115" t="str">
        <f t="shared" si="22"/>
        <v/>
      </c>
      <c r="Q227" s="99" t="str">
        <f t="shared" si="23"/>
        <v/>
      </c>
      <c r="R227" s="67" t="str">
        <f t="shared" si="24"/>
        <v/>
      </c>
    </row>
    <row r="228" spans="2:18" ht="15.75" x14ac:dyDescent="0.25">
      <c r="B228" s="80">
        <v>19</v>
      </c>
      <c r="C228" s="64" t="str">
        <f>IF(Input!E29="","",IF(one.refer,Input!E29,""))</f>
        <v/>
      </c>
      <c r="D228" s="41" t="str">
        <f>IF(C228="","",Input!G29)</f>
        <v/>
      </c>
      <c r="E228" s="114" t="str">
        <f t="shared" si="17"/>
        <v/>
      </c>
      <c r="F228" s="41" t="str">
        <f t="shared" si="25"/>
        <v/>
      </c>
      <c r="G228" s="99" t="str">
        <f t="shared" si="26"/>
        <v/>
      </c>
      <c r="H228" s="67" t="str">
        <f t="shared" si="27"/>
        <v/>
      </c>
      <c r="J228" s="80">
        <v>19</v>
      </c>
      <c r="K228" s="64" t="str">
        <f>IF(Input!E29="","",IF(one.refer,"",Input!E29))</f>
        <v/>
      </c>
      <c r="L228" s="65" t="str">
        <f>IF(K228="","",IF(one.refer,"",Input!G29))</f>
        <v/>
      </c>
      <c r="M228" s="65" t="str">
        <f>IF(K228="","",Input!K29)</f>
        <v/>
      </c>
      <c r="N228" s="65" t="str">
        <f>IF(K228="","",Input!L29)</f>
        <v/>
      </c>
      <c r="O228" s="65" t="str">
        <f t="shared" si="21"/>
        <v/>
      </c>
      <c r="P228" s="115" t="str">
        <f t="shared" si="22"/>
        <v/>
      </c>
      <c r="Q228" s="99" t="str">
        <f t="shared" si="23"/>
        <v/>
      </c>
      <c r="R228" s="67" t="str">
        <f t="shared" si="24"/>
        <v/>
      </c>
    </row>
    <row r="229" spans="2:18" ht="15.75" x14ac:dyDescent="0.25">
      <c r="B229" s="80">
        <v>20</v>
      </c>
      <c r="C229" s="64" t="str">
        <f>IF(Input!E30="","",IF(one.refer,Input!E30,""))</f>
        <v/>
      </c>
      <c r="D229" s="41" t="str">
        <f>IF(C229="","",Input!G30)</f>
        <v/>
      </c>
      <c r="E229" s="114" t="str">
        <f t="shared" si="17"/>
        <v/>
      </c>
      <c r="F229" s="41" t="str">
        <f t="shared" si="25"/>
        <v/>
      </c>
      <c r="G229" s="99" t="str">
        <f t="shared" si="26"/>
        <v/>
      </c>
      <c r="H229" s="67" t="str">
        <f t="shared" si="27"/>
        <v/>
      </c>
      <c r="J229" s="80">
        <v>20</v>
      </c>
      <c r="K229" s="64" t="str">
        <f>IF(Input!E30="","",IF(one.refer,"",Input!E30))</f>
        <v/>
      </c>
      <c r="L229" s="65" t="str">
        <f>IF(K229="","",IF(one.refer,"",Input!G30))</f>
        <v/>
      </c>
      <c r="M229" s="65" t="str">
        <f>IF(K229="","",Input!K30)</f>
        <v/>
      </c>
      <c r="N229" s="65" t="str">
        <f>IF(K229="","",Input!L30)</f>
        <v/>
      </c>
      <c r="O229" s="65" t="str">
        <f t="shared" si="21"/>
        <v/>
      </c>
      <c r="P229" s="115" t="str">
        <f t="shared" si="22"/>
        <v/>
      </c>
      <c r="Q229" s="99" t="str">
        <f t="shared" si="23"/>
        <v/>
      </c>
      <c r="R229" s="67" t="str">
        <f t="shared" si="24"/>
        <v/>
      </c>
    </row>
    <row r="230" spans="2:18" ht="15.75" x14ac:dyDescent="0.25">
      <c r="B230" s="80">
        <v>21</v>
      </c>
      <c r="C230" s="64" t="str">
        <f>IF(Input!E31="","",IF(one.refer,Input!E31,""))</f>
        <v/>
      </c>
      <c r="D230" s="41" t="str">
        <f>IF(C230="","",Input!G31)</f>
        <v/>
      </c>
      <c r="E230" s="114" t="str">
        <f t="shared" si="17"/>
        <v/>
      </c>
      <c r="F230" s="41" t="str">
        <f t="shared" si="25"/>
        <v/>
      </c>
      <c r="G230" s="99" t="str">
        <f t="shared" si="26"/>
        <v/>
      </c>
      <c r="H230" s="67" t="str">
        <f t="shared" si="27"/>
        <v/>
      </c>
      <c r="J230" s="80">
        <v>21</v>
      </c>
      <c r="K230" s="64" t="str">
        <f>IF(Input!E31="","",IF(one.refer,"",Input!E31))</f>
        <v/>
      </c>
      <c r="L230" s="65" t="str">
        <f>IF(K230="","",IF(one.refer,"",Input!G31))</f>
        <v/>
      </c>
      <c r="M230" s="65" t="str">
        <f>IF(K230="","",Input!K31)</f>
        <v/>
      </c>
      <c r="N230" s="65" t="str">
        <f>IF(K230="","",Input!L31)</f>
        <v/>
      </c>
      <c r="O230" s="65" t="str">
        <f t="shared" si="21"/>
        <v/>
      </c>
      <c r="P230" s="115" t="str">
        <f t="shared" si="22"/>
        <v/>
      </c>
      <c r="Q230" s="99" t="str">
        <f t="shared" si="23"/>
        <v/>
      </c>
      <c r="R230" s="67" t="str">
        <f t="shared" si="24"/>
        <v/>
      </c>
    </row>
    <row r="231" spans="2:18" ht="15.75" x14ac:dyDescent="0.25">
      <c r="B231" s="80">
        <v>22</v>
      </c>
      <c r="C231" s="64" t="str">
        <f>IF(Input!E32="","",IF(one.refer,Input!E32,""))</f>
        <v/>
      </c>
      <c r="D231" s="41" t="str">
        <f>IF(C231="","",Input!G32)</f>
        <v/>
      </c>
      <c r="E231" s="114" t="str">
        <f t="shared" si="17"/>
        <v/>
      </c>
      <c r="F231" s="41" t="str">
        <f t="shared" si="25"/>
        <v/>
      </c>
      <c r="G231" s="99" t="str">
        <f t="shared" si="26"/>
        <v/>
      </c>
      <c r="H231" s="67" t="str">
        <f t="shared" si="27"/>
        <v/>
      </c>
      <c r="J231" s="80">
        <v>22</v>
      </c>
      <c r="K231" s="64" t="str">
        <f>IF(Input!E32="","",IF(one.refer,"",Input!E32))</f>
        <v/>
      </c>
      <c r="L231" s="65" t="str">
        <f>IF(K231="","",IF(one.refer,"",Input!G32))</f>
        <v/>
      </c>
      <c r="M231" s="65" t="str">
        <f>IF(K231="","",Input!K32)</f>
        <v/>
      </c>
      <c r="N231" s="65" t="str">
        <f>IF(K231="","",Input!L32)</f>
        <v/>
      </c>
      <c r="O231" s="65" t="str">
        <f t="shared" si="21"/>
        <v/>
      </c>
      <c r="P231" s="115" t="str">
        <f t="shared" si="22"/>
        <v/>
      </c>
      <c r="Q231" s="99" t="str">
        <f t="shared" si="23"/>
        <v/>
      </c>
      <c r="R231" s="67" t="str">
        <f t="shared" si="24"/>
        <v/>
      </c>
    </row>
    <row r="232" spans="2:18" ht="15.75" x14ac:dyDescent="0.25">
      <c r="B232" s="80">
        <v>23</v>
      </c>
      <c r="C232" s="64" t="str">
        <f>IF(Input!E33="","",IF(one.refer,Input!E33,""))</f>
        <v/>
      </c>
      <c r="D232" s="41" t="str">
        <f>IF(C232="","",Input!G33)</f>
        <v/>
      </c>
      <c r="E232" s="114" t="str">
        <f t="shared" si="17"/>
        <v/>
      </c>
      <c r="F232" s="41" t="str">
        <f t="shared" si="25"/>
        <v/>
      </c>
      <c r="G232" s="99" t="str">
        <f t="shared" si="26"/>
        <v/>
      </c>
      <c r="H232" s="67" t="str">
        <f t="shared" si="27"/>
        <v/>
      </c>
      <c r="J232" s="80">
        <v>23</v>
      </c>
      <c r="K232" s="64" t="str">
        <f>IF(Input!E33="","",IF(one.refer,"",Input!E33))</f>
        <v/>
      </c>
      <c r="L232" s="65" t="str">
        <f>IF(K232="","",IF(one.refer,"",Input!G33))</f>
        <v/>
      </c>
      <c r="M232" s="65" t="str">
        <f>IF(K232="","",Input!K33)</f>
        <v/>
      </c>
      <c r="N232" s="65" t="str">
        <f>IF(K232="","",Input!L33)</f>
        <v/>
      </c>
      <c r="O232" s="65" t="str">
        <f t="shared" si="21"/>
        <v/>
      </c>
      <c r="P232" s="115" t="str">
        <f t="shared" si="22"/>
        <v/>
      </c>
      <c r="Q232" s="99" t="str">
        <f t="shared" si="23"/>
        <v/>
      </c>
      <c r="R232" s="67" t="str">
        <f t="shared" si="24"/>
        <v/>
      </c>
    </row>
    <row r="233" spans="2:18" ht="15.75" x14ac:dyDescent="0.25">
      <c r="B233" s="80">
        <v>24</v>
      </c>
      <c r="C233" s="64" t="str">
        <f>IF(Input!E34="","",IF(one.refer,Input!E34,""))</f>
        <v/>
      </c>
      <c r="D233" s="41" t="str">
        <f>IF(C233="","",Input!G34)</f>
        <v/>
      </c>
      <c r="E233" s="114" t="str">
        <f t="shared" si="17"/>
        <v/>
      </c>
      <c r="F233" s="41" t="str">
        <f t="shared" si="25"/>
        <v/>
      </c>
      <c r="G233" s="99" t="str">
        <f t="shared" si="26"/>
        <v/>
      </c>
      <c r="H233" s="67" t="str">
        <f t="shared" si="27"/>
        <v/>
      </c>
      <c r="J233" s="80">
        <v>24</v>
      </c>
      <c r="K233" s="64" t="str">
        <f>IF(Input!E34="","",IF(one.refer,"",Input!E34))</f>
        <v/>
      </c>
      <c r="L233" s="65" t="str">
        <f>IF(K233="","",IF(one.refer,"",Input!G34))</f>
        <v/>
      </c>
      <c r="M233" s="65" t="str">
        <f>IF(K233="","",Input!K34)</f>
        <v/>
      </c>
      <c r="N233" s="65" t="str">
        <f>IF(K233="","",Input!L34)</f>
        <v/>
      </c>
      <c r="O233" s="65" t="str">
        <f t="shared" si="21"/>
        <v/>
      </c>
      <c r="P233" s="115" t="str">
        <f t="shared" si="22"/>
        <v/>
      </c>
      <c r="Q233" s="99" t="str">
        <f t="shared" si="23"/>
        <v/>
      </c>
      <c r="R233" s="67" t="str">
        <f t="shared" si="24"/>
        <v/>
      </c>
    </row>
    <row r="234" spans="2:18" ht="15.75" x14ac:dyDescent="0.25">
      <c r="B234" s="80">
        <v>25</v>
      </c>
      <c r="C234" s="64" t="str">
        <f>IF(Input!E35="","",IF(one.refer,Input!E35,""))</f>
        <v/>
      </c>
      <c r="D234" s="41" t="str">
        <f>IF(C234="","",Input!G35)</f>
        <v/>
      </c>
      <c r="E234" s="114" t="str">
        <f t="shared" si="17"/>
        <v/>
      </c>
      <c r="F234" s="41" t="str">
        <f t="shared" si="25"/>
        <v/>
      </c>
      <c r="G234" s="99" t="str">
        <f t="shared" si="26"/>
        <v/>
      </c>
      <c r="H234" s="67" t="str">
        <f t="shared" si="27"/>
        <v/>
      </c>
      <c r="J234" s="80">
        <v>25</v>
      </c>
      <c r="K234" s="64" t="str">
        <f>IF(Input!E35="","",IF(one.refer,"",Input!E35))</f>
        <v/>
      </c>
      <c r="L234" s="65" t="str">
        <f>IF(K234="","",IF(one.refer,"",Input!G35))</f>
        <v/>
      </c>
      <c r="M234" s="65" t="str">
        <f>IF(K234="","",Input!K35)</f>
        <v/>
      </c>
      <c r="N234" s="65" t="str">
        <f>IF(K234="","",Input!L35)</f>
        <v/>
      </c>
      <c r="O234" s="65" t="str">
        <f t="shared" si="21"/>
        <v/>
      </c>
      <c r="P234" s="115" t="str">
        <f t="shared" si="22"/>
        <v/>
      </c>
      <c r="Q234" s="99" t="str">
        <f t="shared" si="23"/>
        <v/>
      </c>
      <c r="R234" s="67" t="str">
        <f t="shared" si="24"/>
        <v/>
      </c>
    </row>
    <row r="235" spans="2:18" ht="16.5" thickBot="1" x14ac:dyDescent="0.3">
      <c r="B235" s="84" t="s">
        <v>23</v>
      </c>
      <c r="C235" s="85" t="s">
        <v>24</v>
      </c>
      <c r="D235" s="86" t="str">
        <f>IF(SUM(D210:D234)=0,"",SUM(D210:D234))</f>
        <v/>
      </c>
      <c r="E235" s="116" t="s">
        <v>24</v>
      </c>
      <c r="F235" s="86" t="str">
        <f>IF(D235="","",SUM(F210:F234))</f>
        <v/>
      </c>
      <c r="G235" s="101" t="str">
        <f>IF(D235="","",SUM(G210:G234))</f>
        <v/>
      </c>
      <c r="H235" s="117" t="str">
        <f>IF(D235="","",ROUND(((G235-D235)/D235),3))</f>
        <v/>
      </c>
      <c r="J235" s="84" t="s">
        <v>23</v>
      </c>
      <c r="K235" s="85" t="s">
        <v>24</v>
      </c>
      <c r="L235" s="118" t="str">
        <f>IF(one.refer,"",Input!G36)</f>
        <v/>
      </c>
      <c r="M235" s="118" t="str">
        <f>IF(L235="","",Input!K36)</f>
        <v/>
      </c>
      <c r="N235" s="118" t="str">
        <f>IF(L235="","",Input!L36)</f>
        <v/>
      </c>
      <c r="O235" s="118" t="str">
        <f>IF(L235="","",N235-M235)</f>
        <v/>
      </c>
      <c r="P235" s="101"/>
      <c r="Q235" s="119" t="str">
        <f>IF(L235="","",SUM(Q210:Q222))</f>
        <v/>
      </c>
      <c r="R235" s="117" t="str">
        <f>IF(L235="","",ROUND(((Q235-L235)/L235),3))</f>
        <v/>
      </c>
    </row>
    <row r="238" spans="2:18" x14ac:dyDescent="0.25">
      <c r="C238" s="44" t="str">
        <f>IF(C210="","","x{1}^"&amp;launch&amp;" = ")</f>
        <v/>
      </c>
      <c r="D238" s="73" t="str">
        <f>IF(C210="","",x1.launch)</f>
        <v/>
      </c>
    </row>
    <row r="240" spans="2:18" x14ac:dyDescent="0.25">
      <c r="C240" s="244" t="str">
        <f>IF(C210="","",x1.target)</f>
        <v/>
      </c>
      <c r="D240" s="46" t="str">
        <f>IF(C210="","","x{1}^"&amp;launch&amp;" + ("&amp;delta&amp;"s{1}^{"&amp;base&amp;","&amp;launch&amp;"} )( "&amp;delta&amp;"X^{"&amp;launch&amp;","&amp;target&amp;"} )")</f>
        <v/>
      </c>
      <c r="K240" s="44" t="str">
        <f>IF(one.refer,"",IF(adjust=1,"","Adjustment = "))</f>
        <v/>
      </c>
      <c r="L240" s="93" t="str">
        <f>IF(one.refer,"",IF(adjust=1,"",adjust))</f>
        <v/>
      </c>
    </row>
    <row r="241" spans="2:13" x14ac:dyDescent="0.25">
      <c r="C241" s="244" t="str">
        <f>IF(C210="","","= ")</f>
        <v/>
      </c>
      <c r="D241" s="73" t="str">
        <f>IF(C210="","",TEXT($D$238,"#,###")&amp;" + ("&amp;TEXT($E$210,"0.###0")&amp;")("&amp;TEXT($F$235,"#,###")&amp;")")</f>
        <v/>
      </c>
    </row>
    <row r="242" spans="2:13" x14ac:dyDescent="0.25">
      <c r="C242" s="244" t="str">
        <f>IF(C210="","","= ")</f>
        <v/>
      </c>
      <c r="D242" s="73" t="str">
        <f>IF(C210="","",$D$238+($E$210*$F$235))</f>
        <v/>
      </c>
      <c r="K242" s="44" t="str">
        <f>IF(one.refer,"",x1.target)</f>
        <v/>
      </c>
      <c r="L242" s="46" t="str">
        <f>IF(one.refer,"",IF(adjust=1,"x{1}^"&amp;launch&amp;" + ("&amp;delta&amp;"s{1}^{"&amp;base&amp;","&amp;launch&amp;"})("&amp;delta&amp;"x{1}^{"&amp;launch&amp;","&amp;target&amp;"})","[Adjustment ][[x{1}^"&amp;launch&amp;" + ("&amp;delta&amp;"}s{1}^{"&amp;base&amp;","&amp;launch&amp;"})( "&amp;delta&amp;"x{1}^{"&amp;launch&amp;","&amp;target&amp;"}) ]"))</f>
        <v/>
      </c>
    </row>
    <row r="243" spans="2:13" x14ac:dyDescent="0.25">
      <c r="C243" s="244"/>
      <c r="K243" s="103" t="str">
        <f>IF(one.refer,"","= ")</f>
        <v/>
      </c>
      <c r="L243" s="73" t="str">
        <f>IF(one.refer,"",IF(adjust=1,TEXT($L$210,"#,###")&amp;" + ("&amp;TEXT($O$210,"#,###")&amp;")("&amp;TEXT($P$210,"0.###0")&amp;")","[ "&amp;TEXT(L240,"#.####")&amp;"] ["&amp;TEXT($L$210,"#,###")&amp;" + ("&amp;TEXT($O$210,"#,###")&amp;")("&amp;TEXT($P$210,"0.##0")&amp;") ]"))</f>
        <v/>
      </c>
    </row>
    <row r="244" spans="2:13" x14ac:dyDescent="0.25">
      <c r="H244" s="235"/>
      <c r="K244" s="103" t="str">
        <f>IF(one.refer,"","= ")</f>
        <v/>
      </c>
      <c r="L244" s="73" t="str">
        <f>IF(one.refer,"",IF(adjust=1,$L$210+($O$210*$P$210),L240*($L$210+($O$210*$P$210))))</f>
        <v/>
      </c>
      <c r="M244" s="256"/>
    </row>
    <row r="245" spans="2:13" x14ac:dyDescent="0.25">
      <c r="B245" t="s">
        <v>137</v>
      </c>
      <c r="K245" s="44"/>
      <c r="L245" s="46"/>
    </row>
    <row r="246" spans="2:13" ht="15.75" thickBot="1" x14ac:dyDescent="0.3"/>
    <row r="247" spans="2:13" x14ac:dyDescent="0.25">
      <c r="B247" s="15" t="str">
        <f>IF(one.analysis,"Component","")</f>
        <v>Component</v>
      </c>
      <c r="C247" s="17" t="str">
        <f>IF(one.analysis,variable,"")</f>
        <v>Population</v>
      </c>
      <c r="D247" s="17"/>
      <c r="E247" s="74" t="str">
        <f>IF(one.analysis,variable,"")</f>
        <v>Population</v>
      </c>
      <c r="F247" s="120" t="str">
        <f>IF(one.analysis,"Share of","")</f>
        <v>Share of</v>
      </c>
    </row>
    <row r="248" spans="2:13" x14ac:dyDescent="0.25">
      <c r="B248" s="22"/>
      <c r="C248" s="23" t="str">
        <f>IF(one.analysis,base,"")</f>
        <v>2000</v>
      </c>
      <c r="D248" s="23" t="str">
        <f>IF(one.analysis,launch,"")</f>
        <v>2010</v>
      </c>
      <c r="E248" s="75" t="str">
        <f>IF(one.analysis,"Change","")</f>
        <v>Change</v>
      </c>
      <c r="F248" s="76" t="str">
        <f>IF(one.analysis,"Change","")</f>
        <v>Change</v>
      </c>
    </row>
    <row r="249" spans="2:13" x14ac:dyDescent="0.25">
      <c r="B249" s="121"/>
      <c r="C249" s="122"/>
      <c r="D249" s="122"/>
      <c r="E249" s="122"/>
      <c r="F249" s="123" t="str">
        <f>IF(one.analysis,"c^"&amp;base&amp;","&amp;launch,"")</f>
        <v>c^2000,2010</v>
      </c>
    </row>
    <row r="250" spans="2:13" ht="15.75" x14ac:dyDescent="0.25">
      <c r="B250" s="59" t="s">
        <v>0</v>
      </c>
      <c r="C250" s="61" t="s">
        <v>1</v>
      </c>
      <c r="D250" s="61" t="s">
        <v>2</v>
      </c>
      <c r="E250" s="61" t="s">
        <v>3</v>
      </c>
      <c r="F250" s="62" t="s">
        <v>4</v>
      </c>
    </row>
    <row r="251" spans="2:13" x14ac:dyDescent="0.25">
      <c r="B251" s="124" t="str">
        <f>IF(one.analysis,study.area,"")</f>
        <v xml:space="preserve">Decatur </v>
      </c>
      <c r="C251" s="37">
        <f>IF(one.analysis,x1.base,"")</f>
        <v>18147</v>
      </c>
      <c r="D251" s="37">
        <f>IF(one.analysis,x1.launch,"")</f>
        <v>19335</v>
      </c>
      <c r="E251" s="37">
        <f>IF(one.analysis,D251-C251,"")</f>
        <v>1188</v>
      </c>
      <c r="F251" s="125">
        <f>IF(one.analysis,ROUND(E251/E252,4),"")</f>
        <v>4.5600000000000002E-2</v>
      </c>
    </row>
    <row r="252" spans="2:13" ht="15.75" thickBot="1" x14ac:dyDescent="0.3">
      <c r="B252" s="126" t="str">
        <f>IF(one.analysis,refer.area,"")</f>
        <v>DeKalb County</v>
      </c>
      <c r="C252" s="127">
        <f>IF(one.analysis,X.base,"")</f>
        <v>665865</v>
      </c>
      <c r="D252" s="127">
        <f>IF(one.analysis,X.launch,"")</f>
        <v>691893</v>
      </c>
      <c r="E252" s="127">
        <f>IF(one.analysis,D252-C252,"")</f>
        <v>26028</v>
      </c>
      <c r="F252" s="128" t="str">
        <f>IF(one.analysis,"---","")</f>
        <v>---</v>
      </c>
    </row>
    <row r="255" spans="2:13" x14ac:dyDescent="0.25">
      <c r="C255" s="44" t="str">
        <f>IF(one.analysis,"c^{"&amp;base&amp;","&amp;launch&amp;"} = ","")</f>
        <v xml:space="preserve">c^{2000,2010} = </v>
      </c>
      <c r="D255" t="str">
        <f>IF(one.analysis,delta&amp;"x^{"&amp;base&amp;","&amp;launch&amp;"} / "&amp;delta&amp;"X^{"&amp;base&amp;","&amp;launch&amp;"}","")</f>
        <v>Δx^{2000,2010} / ΔX^{2000,2010}</v>
      </c>
    </row>
    <row r="256" spans="2:13" x14ac:dyDescent="0.25">
      <c r="C256" s="103" t="str">
        <f>IF(one.analysis," = ","")</f>
        <v xml:space="preserve"> = </v>
      </c>
      <c r="D256" s="93" t="str">
        <f>IF(one.analysis,TEXT($E$251,"#,###")&amp;"/"&amp;TEXT($E$252,"#,###"),"")</f>
        <v>1,188/26,028</v>
      </c>
    </row>
    <row r="257" spans="2:7" x14ac:dyDescent="0.25">
      <c r="C257" s="103" t="str">
        <f>IF(one.analysis," = ","")</f>
        <v xml:space="preserve"> = </v>
      </c>
      <c r="D257" s="93">
        <f>IF(one.analysis,$E$251/$E$252,"")</f>
        <v>4.5643153526970952E-2</v>
      </c>
    </row>
    <row r="260" spans="2:7" x14ac:dyDescent="0.25">
      <c r="B260" t="s">
        <v>69</v>
      </c>
    </row>
    <row r="261" spans="2:7" ht="15.75" thickBot="1" x14ac:dyDescent="0.3"/>
    <row r="262" spans="2:7" x14ac:dyDescent="0.25">
      <c r="B262" s="129" t="str">
        <f>IF(one.analysis,study.area&amp;" "&amp;variable,"")</f>
        <v>Decatur  Population</v>
      </c>
      <c r="C262" s="17"/>
      <c r="D262" s="18"/>
      <c r="E262" s="74" t="str">
        <f>IF(one.analysis,"Share of","")</f>
        <v>Share of</v>
      </c>
      <c r="F262" s="130" t="str">
        <f>IF(one.analysis,refer.area&amp;" "&amp;variable,"")</f>
        <v>DeKalb County Population</v>
      </c>
      <c r="G262" s="131"/>
    </row>
    <row r="263" spans="2:7" x14ac:dyDescent="0.25">
      <c r="B263" s="80" t="str">
        <f>IF(one.analysis,launch,"")</f>
        <v>2010</v>
      </c>
      <c r="C263" s="75" t="str">
        <f>IF(one.analysis,target,"")</f>
        <v>2040</v>
      </c>
      <c r="D263" s="13" t="str">
        <f>IF(one.analysis,"Change","")</f>
        <v>Change</v>
      </c>
      <c r="E263" s="95" t="str">
        <f>IF(one.analysis,"Change","")</f>
        <v>Change</v>
      </c>
      <c r="F263" s="23" t="str">
        <f>IF(one.analysis,launch,"")</f>
        <v>2010</v>
      </c>
      <c r="G263" s="132" t="str">
        <f>IF(one.analysis,target,"")</f>
        <v>2040</v>
      </c>
    </row>
    <row r="264" spans="2:7" x14ac:dyDescent="0.25">
      <c r="B264" s="133" t="str">
        <f>IF(one.analysis,"X^"&amp;launch,"")</f>
        <v>X^2010</v>
      </c>
      <c r="C264" s="122" t="str">
        <f>IF(one.analysis,"X^"&amp;target,"")</f>
        <v>X^2040</v>
      </c>
      <c r="D264" s="122" t="str">
        <f>IF(one.analysis,delta&amp;"X^"&amp;launch&amp;","&amp;target,"")</f>
        <v>ΔX^2010,2040</v>
      </c>
      <c r="E264" s="134" t="str">
        <f>IF(one.analysis,"c^"&amp;base&amp;","&amp;launch,"")</f>
        <v>c^2000,2010</v>
      </c>
      <c r="F264" s="122" t="str">
        <f>IF(one.analysis,"x^"&amp;launch,"")</f>
        <v>x^2010</v>
      </c>
      <c r="G264" s="123" t="str">
        <f>IF(one.analysis,"x^"&amp;target,"")</f>
        <v>x^2040</v>
      </c>
    </row>
    <row r="265" spans="2:7" ht="15.75" x14ac:dyDescent="0.25">
      <c r="B265" s="59" t="s">
        <v>0</v>
      </c>
      <c r="C265" s="61" t="s">
        <v>1</v>
      </c>
      <c r="D265" s="61" t="s">
        <v>2</v>
      </c>
      <c r="E265" s="106" t="s">
        <v>3</v>
      </c>
      <c r="F265" s="135" t="s">
        <v>4</v>
      </c>
      <c r="G265" s="62" t="s">
        <v>5</v>
      </c>
    </row>
    <row r="266" spans="2:7" ht="15.75" thickBot="1" x14ac:dyDescent="0.3">
      <c r="B266" s="136">
        <f>IF(one.analysis,X.launch,"")</f>
        <v>691893</v>
      </c>
      <c r="C266" s="48">
        <f>IF(one.analysis,X.target,"")</f>
        <v>881851</v>
      </c>
      <c r="D266" s="48">
        <f>IF(one.analysis,C266-B266,"")</f>
        <v>189958</v>
      </c>
      <c r="E266" s="137">
        <f>IF(one.analysis,F251,"")</f>
        <v>4.5600000000000002E-2</v>
      </c>
      <c r="F266" s="138">
        <f>IF(one.analysis,x1.launch,"")</f>
        <v>19335</v>
      </c>
      <c r="G266" s="139">
        <f>IF(one.analysis,F266+(D266*E266),"")</f>
        <v>27997.084800000001</v>
      </c>
    </row>
    <row r="269" spans="2:7" x14ac:dyDescent="0.25">
      <c r="C269" s="44" t="str">
        <f>IF(one.analysis,"x^"&amp;target&amp;" = ","")</f>
        <v xml:space="preserve">x^2040 = </v>
      </c>
      <c r="D269" t="str">
        <f>IF(one.analysis,"x^"&amp;launch&amp;" + [ (c^{"&amp;base&amp;","&amp;launch&amp;"} )( "&amp;delta&amp;"X^{"&amp;launch&amp;","&amp;target&amp;"}) ]","")</f>
        <v>x^2010 + [ (c^{2000,2010} )( ΔX^{2010,2040}) ]</v>
      </c>
    </row>
    <row r="270" spans="2:7" x14ac:dyDescent="0.25">
      <c r="C270" s="103" t="str">
        <f>IF(one.analysis,"= ","")</f>
        <v xml:space="preserve">= </v>
      </c>
      <c r="D270" s="73" t="str">
        <f>IF(one.analysis,TEXT($F$266,"#,###")&amp;" + [ ("&amp;TEXT($E$266,"#0.###0")&amp;")("&amp;TEXT($D$266,"#,###")&amp;" ) ]","")</f>
        <v>19,335 + [ (0.0456)(189,958 ) ]</v>
      </c>
    </row>
    <row r="271" spans="2:7" x14ac:dyDescent="0.25">
      <c r="C271" s="103" t="str">
        <f>IF(one.analysis,"= ","")</f>
        <v xml:space="preserve">= </v>
      </c>
      <c r="D271" s="73">
        <f>IF(one.analysis,$F$266+($E$266*$D$266),"")</f>
        <v>27997.084800000001</v>
      </c>
    </row>
    <row r="272" spans="2:7" x14ac:dyDescent="0.25">
      <c r="C272" s="103"/>
      <c r="D272" s="73"/>
    </row>
    <row r="274" spans="2:15" x14ac:dyDescent="0.25">
      <c r="B274" t="s">
        <v>128</v>
      </c>
      <c r="I274" t="s">
        <v>130</v>
      </c>
    </row>
    <row r="275" spans="2:15" ht="15.75" thickBot="1" x14ac:dyDescent="0.3"/>
    <row r="276" spans="2:15" ht="15.75" x14ac:dyDescent="0.25">
      <c r="B276" s="15" t="str">
        <f>IF(one.analysis,refer.area,"")</f>
        <v>DeKalb County</v>
      </c>
      <c r="C276" s="140" t="str">
        <f>IF(one.analysis,"Share Trend","")</f>
        <v>Share Trend</v>
      </c>
      <c r="D276" s="120" t="str">
        <f>IF(one.analysis,study.area,"")</f>
        <v xml:space="preserve">Decatur </v>
      </c>
      <c r="I276" s="15" t="s">
        <v>45</v>
      </c>
      <c r="J276" s="74" t="str">
        <f>IF(OR(one.analysis,one.refer),"",study.label)</f>
        <v/>
      </c>
      <c r="K276" s="74" t="str">
        <f>IF(OR(one.analysis,one.refer),"",study.area)</f>
        <v/>
      </c>
      <c r="L276" s="74" t="str">
        <f>IF(OR(one.analysis,one.refer),"",refer.area)</f>
        <v/>
      </c>
      <c r="M276" s="141" t="str">
        <f>IF(OR(one.analysis,one.refer),"","Share Trend")</f>
        <v/>
      </c>
      <c r="N276" s="74" t="str">
        <f>IF(OR(one.analysis,one.refer),"",study.area)</f>
        <v/>
      </c>
      <c r="O276" s="53" t="str">
        <f>IF(OR(one.analysis,one.refer),"","Growth Rate")</f>
        <v/>
      </c>
    </row>
    <row r="277" spans="2:15" ht="15.75" x14ac:dyDescent="0.25">
      <c r="B277" s="80" t="str">
        <f>IF(one.analysis,variable,"")</f>
        <v>Population</v>
      </c>
      <c r="C277" s="142" t="str">
        <f>IF(one.analysis,launch&amp;"-"&amp;target,"")</f>
        <v>2010-2040</v>
      </c>
      <c r="D277" s="76" t="str">
        <f>IF(one.analysis,variable,"")</f>
        <v>Population</v>
      </c>
      <c r="E277" s="13"/>
      <c r="F277" s="113"/>
      <c r="I277" s="22"/>
      <c r="J277" s="75"/>
      <c r="K277" s="75" t="str">
        <f>IF(OR(one.analysis,one.refer),"",variable)</f>
        <v/>
      </c>
      <c r="L277" s="75" t="str">
        <f>IF(OR(one.analysis,one.refer),"",variable)</f>
        <v/>
      </c>
      <c r="M277" s="143" t="str">
        <f>IF(OR(one.analysis,one.refer),"",launch&amp;"-"&amp;target)</f>
        <v/>
      </c>
      <c r="N277" s="75" t="str">
        <f>IF(OR(one.analysis,one.refer),"",variable)</f>
        <v/>
      </c>
      <c r="O277" s="57"/>
    </row>
    <row r="278" spans="2:15" ht="15.75" x14ac:dyDescent="0.25">
      <c r="B278" s="133" t="str">
        <f>IF(one.analysis,"X^"&amp;target,"")</f>
        <v>X^2040</v>
      </c>
      <c r="C278" s="122" t="str">
        <f>IF(one.analysis,"s^"&amp;target&amp;"-"&amp;target,"")</f>
        <v>s^2040-2040</v>
      </c>
      <c r="D278" s="123" t="str">
        <f>IF(one.analysis,"x^"&amp;target,"")</f>
        <v>x^2040</v>
      </c>
      <c r="E278" s="13"/>
      <c r="I278" s="80" t="s">
        <v>55</v>
      </c>
      <c r="J278" s="75"/>
      <c r="K278" s="106" t="str">
        <f>IF(OR(one.analysis,one.refer),"","xi^"&amp;launch)</f>
        <v/>
      </c>
      <c r="L278" s="106" t="str">
        <f>IF(OR(one.analysis,one.refer),"","Xi^"&amp;target)</f>
        <v/>
      </c>
      <c r="M278" s="134" t="str">
        <f>IF(OR(one.analysis,one.refer),"","si^"&amp;target)</f>
        <v/>
      </c>
      <c r="N278" s="122" t="str">
        <f>IF(OR(one.analysis,one.refer),"","xi^"&amp;target)</f>
        <v/>
      </c>
      <c r="O278" s="57" t="str">
        <f>IF(OR(one.analysis,one.refer),"","ri^"&amp;base&amp;","&amp;target)</f>
        <v/>
      </c>
    </row>
    <row r="279" spans="2:15" ht="15.75" x14ac:dyDescent="0.25">
      <c r="B279" s="59" t="s">
        <v>0</v>
      </c>
      <c r="C279" s="61" t="s">
        <v>1</v>
      </c>
      <c r="D279" s="62" t="s">
        <v>2</v>
      </c>
      <c r="E279" s="13"/>
      <c r="I279" s="59" t="s">
        <v>0</v>
      </c>
      <c r="J279" s="61" t="s">
        <v>1</v>
      </c>
      <c r="K279" s="61" t="s">
        <v>2</v>
      </c>
      <c r="L279" s="61" t="s">
        <v>3</v>
      </c>
      <c r="M279" s="78" t="s">
        <v>4</v>
      </c>
      <c r="N279" s="61" t="s">
        <v>5</v>
      </c>
      <c r="O279" s="62" t="s">
        <v>6</v>
      </c>
    </row>
    <row r="280" spans="2:15" ht="16.5" thickBot="1" x14ac:dyDescent="0.3">
      <c r="B280" s="136">
        <f>IF(AND(one.analysis,s.trend&lt;&gt;0),X.target,"")</f>
        <v>881851</v>
      </c>
      <c r="C280" s="137">
        <f>IF(AND(one.analysis,s.trend&lt;&gt;0),s.trend,"")</f>
        <v>2.29E-2</v>
      </c>
      <c r="D280" s="139">
        <f>IF(AND(one.analysis,s.trend&lt;&gt;0),B280*C280,"")</f>
        <v>20194.387900000002</v>
      </c>
      <c r="E280" s="79"/>
      <c r="I280" s="80">
        <v>1</v>
      </c>
      <c r="J280" s="64" t="str">
        <f>IF(Input!E11="","",IF(one.refer,"",Input!E11))</f>
        <v/>
      </c>
      <c r="K280" s="41" t="str">
        <f>IF(J280="","",Input!G11)</f>
        <v/>
      </c>
      <c r="L280" s="41" t="str">
        <f>IF(J280="","",Input!L11)</f>
        <v/>
      </c>
      <c r="M280" s="144" t="str">
        <f>IF(L280="","",Input!M11)</f>
        <v/>
      </c>
      <c r="N280" s="41" t="str">
        <f t="shared" ref="N280:N304" si="28">IF(J280="","",adjust*L280*M280)</f>
        <v/>
      </c>
      <c r="O280" s="67" t="str">
        <f t="shared" ref="O280:O304" si="29">IF(J280="","",ROUND(((N280-K280)/K280),3))</f>
        <v/>
      </c>
    </row>
    <row r="281" spans="2:15" ht="15.75" x14ac:dyDescent="0.25">
      <c r="E281" s="145"/>
      <c r="I281" s="80">
        <v>2</v>
      </c>
      <c r="J281" s="64" t="str">
        <f>IF(Input!E12="","",IF(one.refer,"",Input!E12))</f>
        <v/>
      </c>
      <c r="K281" s="41" t="str">
        <f>IF(J281="","",Input!G12)</f>
        <v/>
      </c>
      <c r="L281" s="41" t="str">
        <f>IF(J281="","",Input!L12)</f>
        <v/>
      </c>
      <c r="M281" s="144" t="str">
        <f>IF(L281="","",Input!M12)</f>
        <v/>
      </c>
      <c r="N281" s="41" t="str">
        <f t="shared" si="28"/>
        <v/>
      </c>
      <c r="O281" s="67" t="str">
        <f t="shared" si="29"/>
        <v/>
      </c>
    </row>
    <row r="282" spans="2:15" ht="15.75" x14ac:dyDescent="0.25">
      <c r="I282" s="80">
        <v>3</v>
      </c>
      <c r="J282" s="64" t="str">
        <f>IF(Input!E13="","",IF(one.refer,"",Input!E13))</f>
        <v/>
      </c>
      <c r="K282" s="41" t="str">
        <f>IF(J282="","",Input!G13)</f>
        <v/>
      </c>
      <c r="L282" s="41" t="str">
        <f>IF(J282="","",Input!L13)</f>
        <v/>
      </c>
      <c r="M282" s="144" t="str">
        <f>IF(L282="","",Input!M13)</f>
        <v/>
      </c>
      <c r="N282" s="41" t="str">
        <f t="shared" si="28"/>
        <v/>
      </c>
      <c r="O282" s="67" t="str">
        <f t="shared" si="29"/>
        <v/>
      </c>
    </row>
    <row r="283" spans="2:15" ht="15.75" x14ac:dyDescent="0.25">
      <c r="C283" s="44" t="str">
        <f>IF(one.analysis,"x^"&amp;target&amp;" = ","")</f>
        <v xml:space="preserve">x^2040 = </v>
      </c>
      <c r="D283" s="44" t="str">
        <f>IF(one.analysis,"(X^"&amp;target&amp;")(s^"&amp;target&amp;")","")</f>
        <v>(X^2040)(s^2040)</v>
      </c>
      <c r="E283" s="44"/>
      <c r="I283" s="80">
        <v>4</v>
      </c>
      <c r="J283" s="64" t="str">
        <f>IF(Input!E14="","",IF(one.refer,"",Input!E14))</f>
        <v/>
      </c>
      <c r="K283" s="41" t="str">
        <f>IF(J283="","",Input!G14)</f>
        <v/>
      </c>
      <c r="L283" s="41" t="str">
        <f>IF(J283="","",Input!L14)</f>
        <v/>
      </c>
      <c r="M283" s="144" t="str">
        <f>IF(L283="","",Input!M14)</f>
        <v/>
      </c>
      <c r="N283" s="41" t="str">
        <f t="shared" si="28"/>
        <v/>
      </c>
      <c r="O283" s="67" t="str">
        <f t="shared" si="29"/>
        <v/>
      </c>
    </row>
    <row r="284" spans="2:15" ht="15.75" x14ac:dyDescent="0.25">
      <c r="C284" s="103" t="str">
        <f>IF(one.analysis,"= ","")</f>
        <v xml:space="preserve">= </v>
      </c>
      <c r="D284" s="73" t="str">
        <f>IF(one.analysis,"("&amp;TEXT($B$280,"#,###")&amp;")("&amp;TEXT($C$280,"#0.###0")&amp;")","")</f>
        <v>(881,851)(0.0229)</v>
      </c>
      <c r="I284" s="80">
        <v>5</v>
      </c>
      <c r="J284" s="64" t="str">
        <f>IF(Input!E15="","",IF(one.refer,"",Input!E15))</f>
        <v/>
      </c>
      <c r="K284" s="41" t="str">
        <f>IF(J284="","",Input!G15)</f>
        <v/>
      </c>
      <c r="L284" s="41" t="str">
        <f>IF(J284="","",Input!L15)</f>
        <v/>
      </c>
      <c r="M284" s="144" t="str">
        <f>IF(L284="","",Input!M15)</f>
        <v/>
      </c>
      <c r="N284" s="41" t="str">
        <f t="shared" si="28"/>
        <v/>
      </c>
      <c r="O284" s="67" t="str">
        <f t="shared" si="29"/>
        <v/>
      </c>
    </row>
    <row r="285" spans="2:15" ht="15.75" x14ac:dyDescent="0.25">
      <c r="C285" s="103" t="str">
        <f>IF(one.analysis,"= ","")</f>
        <v xml:space="preserve">= </v>
      </c>
      <c r="D285" s="73">
        <f>IF(one.analysis,$B$280*$C$280,"")</f>
        <v>20194.387900000002</v>
      </c>
      <c r="I285" s="80">
        <v>6</v>
      </c>
      <c r="J285" s="64" t="str">
        <f>IF(Input!E16="","",IF(one.refer,"",Input!E16))</f>
        <v/>
      </c>
      <c r="K285" s="41" t="str">
        <f>IF(J285="","",Input!G16)</f>
        <v/>
      </c>
      <c r="L285" s="41" t="str">
        <f>IF(J285="","",Input!L16)</f>
        <v/>
      </c>
      <c r="M285" s="144" t="str">
        <f>IF(L285="","",Input!M16)</f>
        <v/>
      </c>
      <c r="N285" s="41" t="str">
        <f t="shared" si="28"/>
        <v/>
      </c>
      <c r="O285" s="67" t="str">
        <f t="shared" si="29"/>
        <v/>
      </c>
    </row>
    <row r="286" spans="2:15" ht="15.75" x14ac:dyDescent="0.25">
      <c r="I286" s="80">
        <v>7</v>
      </c>
      <c r="J286" s="64" t="str">
        <f>IF(Input!E17="","",IF(one.refer,"",Input!E17))</f>
        <v/>
      </c>
      <c r="K286" s="41" t="str">
        <f>IF(J286="","",Input!G17)</f>
        <v/>
      </c>
      <c r="L286" s="41" t="str">
        <f>IF(J286="","",Input!L17)</f>
        <v/>
      </c>
      <c r="M286" s="144" t="str">
        <f>IF(L286="","",Input!M17)</f>
        <v/>
      </c>
      <c r="N286" s="41" t="str">
        <f t="shared" si="28"/>
        <v/>
      </c>
      <c r="O286" s="67" t="str">
        <f t="shared" si="29"/>
        <v/>
      </c>
    </row>
    <row r="287" spans="2:15" ht="15.75" x14ac:dyDescent="0.25">
      <c r="I287" s="80">
        <v>8</v>
      </c>
      <c r="J287" s="64" t="str">
        <f>IF(Input!E18="","",IF(one.refer,"",Input!E18))</f>
        <v/>
      </c>
      <c r="K287" s="41" t="str">
        <f>IF(J287="","",Input!G18)</f>
        <v/>
      </c>
      <c r="L287" s="41" t="str">
        <f>IF(J287="","",Input!L18)</f>
        <v/>
      </c>
      <c r="M287" s="144" t="str">
        <f>IF(L287="","",Input!M18)</f>
        <v/>
      </c>
      <c r="N287" s="41" t="str">
        <f t="shared" si="28"/>
        <v/>
      </c>
      <c r="O287" s="67" t="str">
        <f t="shared" si="29"/>
        <v/>
      </c>
    </row>
    <row r="288" spans="2:15" ht="15.75" x14ac:dyDescent="0.25">
      <c r="B288" t="s">
        <v>129</v>
      </c>
      <c r="I288" s="80">
        <v>9</v>
      </c>
      <c r="J288" s="64" t="str">
        <f>IF(Input!E19="","",IF(one.refer,"",Input!E19))</f>
        <v/>
      </c>
      <c r="K288" s="41" t="str">
        <f>IF(J288="","",Input!G19)</f>
        <v/>
      </c>
      <c r="L288" s="41" t="str">
        <f>IF(J288="","",Input!L19)</f>
        <v/>
      </c>
      <c r="M288" s="144" t="str">
        <f>IF(L288="","",Input!M19)</f>
        <v/>
      </c>
      <c r="N288" s="41" t="str">
        <f t="shared" si="28"/>
        <v/>
      </c>
      <c r="O288" s="67" t="str">
        <f t="shared" si="29"/>
        <v/>
      </c>
    </row>
    <row r="289" spans="2:15" ht="16.5" thickBot="1" x14ac:dyDescent="0.3">
      <c r="I289" s="80">
        <v>10</v>
      </c>
      <c r="J289" s="64" t="str">
        <f>IF(Input!E20="","",IF(one.refer,"",Input!E20))</f>
        <v/>
      </c>
      <c r="K289" s="41" t="str">
        <f>IF(J289="","",Input!G20)</f>
        <v/>
      </c>
      <c r="L289" s="41" t="str">
        <f>IF(J289="","",Input!L20)</f>
        <v/>
      </c>
      <c r="M289" s="144" t="str">
        <f>IF(L289="","",Input!M20)</f>
        <v/>
      </c>
      <c r="N289" s="41" t="str">
        <f t="shared" si="28"/>
        <v/>
      </c>
      <c r="O289" s="67" t="str">
        <f t="shared" si="29"/>
        <v/>
      </c>
    </row>
    <row r="290" spans="2:15" ht="15.75" x14ac:dyDescent="0.25">
      <c r="B290" s="15" t="str">
        <f>IF(OR(one.analysis,NOT(one.refer)),"","Component")</f>
        <v/>
      </c>
      <c r="C290" s="74" t="str">
        <f>IF(OR(one.analysis,NOT(one.refer)),"",study.label)</f>
        <v/>
      </c>
      <c r="D290" s="74" t="str">
        <f>IF(OR(one.analysis,NOT(one.refer)),"",variable)</f>
        <v/>
      </c>
      <c r="E290" s="51" t="str">
        <f>IF(OR(one.analysis,NOT(one.refer)),"","Absolute")</f>
        <v/>
      </c>
      <c r="F290" s="94" t="str">
        <f>IF(OR(one.analysis,NOT(one.refer)),"","Adjusted")</f>
        <v/>
      </c>
      <c r="G290" s="21"/>
      <c r="I290" s="80">
        <v>11</v>
      </c>
      <c r="J290" s="64" t="str">
        <f>IF(Input!E21="","",IF(one.refer,"",Input!E21))</f>
        <v/>
      </c>
      <c r="K290" s="41" t="str">
        <f>IF(J290="","",Input!G21)</f>
        <v/>
      </c>
      <c r="L290" s="41" t="str">
        <f>IF(J290="","",Input!L21)</f>
        <v/>
      </c>
      <c r="M290" s="144" t="str">
        <f>IF(L290="","",Input!M21)</f>
        <v/>
      </c>
      <c r="N290" s="41" t="str">
        <f t="shared" si="28"/>
        <v/>
      </c>
      <c r="O290" s="67" t="str">
        <f t="shared" si="29"/>
        <v/>
      </c>
    </row>
    <row r="291" spans="2:15" ht="15.75" x14ac:dyDescent="0.25">
      <c r="B291" s="22"/>
      <c r="C291" s="75"/>
      <c r="D291" s="75" t="str">
        <f>IF(OR(one.analysis,NOT(one.refer)),"","Change")</f>
        <v/>
      </c>
      <c r="E291" s="55" t="str">
        <f>IF(OR(one.analysis,NOT(one.refer)),"","Change")</f>
        <v/>
      </c>
      <c r="F291" s="95" t="str">
        <f>IF(OR(one.analysis,NOT(one.refer)),"","Change")</f>
        <v/>
      </c>
      <c r="G291" s="21"/>
      <c r="I291" s="80">
        <v>12</v>
      </c>
      <c r="J291" s="64" t="str">
        <f>IF(Input!E22="","",IF(one.refer,"",Input!E22))</f>
        <v/>
      </c>
      <c r="K291" s="41" t="str">
        <f>IF(J291="","",Input!G22)</f>
        <v/>
      </c>
      <c r="L291" s="41" t="str">
        <f>IF(J291="","",Input!L22)</f>
        <v/>
      </c>
      <c r="M291" s="144" t="str">
        <f>IF(L291="","",Input!M22)</f>
        <v/>
      </c>
      <c r="N291" s="41" t="str">
        <f t="shared" si="28"/>
        <v/>
      </c>
      <c r="O291" s="67" t="str">
        <f t="shared" si="29"/>
        <v/>
      </c>
    </row>
    <row r="292" spans="2:15" ht="15.75" x14ac:dyDescent="0.25">
      <c r="B292" s="40" t="str">
        <f>IF(OR(one.analysis,NOT(one.refer)),"","i")</f>
        <v/>
      </c>
      <c r="C292" s="75"/>
      <c r="D292" s="96" t="str">
        <f>IF(OR(one.analysis,NOT(one.refer)),"",delta&amp;"xi^{"&amp;base&amp;","&amp;launch&amp;"}")</f>
        <v/>
      </c>
      <c r="E292" s="96" t="str">
        <f>IF(OR(one.analysis,NOT(one.refer)),"","|"&amp;delta&amp;"xi^{"&amp;base&amp;","&amp;launch&amp;"}|")</f>
        <v/>
      </c>
      <c r="F292" s="97" t="str">
        <f>IF(OR(one.analysis,NOT(one.refer)),"",delta&amp;"xi^{"&amp;launch&amp;","&amp;target&amp;"}")</f>
        <v/>
      </c>
      <c r="G292" s="146"/>
      <c r="I292" s="80">
        <v>13</v>
      </c>
      <c r="J292" s="64" t="str">
        <f>IF(Input!E23="","",IF(one.refer,"",Input!E23))</f>
        <v/>
      </c>
      <c r="K292" s="41" t="str">
        <f>IF(J292="","",Input!G23)</f>
        <v/>
      </c>
      <c r="L292" s="41" t="str">
        <f>IF(J292="","",Input!L23)</f>
        <v/>
      </c>
      <c r="M292" s="144" t="str">
        <f>IF(L292="","",Input!M23)</f>
        <v/>
      </c>
      <c r="N292" s="41" t="str">
        <f t="shared" si="28"/>
        <v/>
      </c>
      <c r="O292" s="67" t="str">
        <f t="shared" si="29"/>
        <v/>
      </c>
    </row>
    <row r="293" spans="2:15" ht="15.75" x14ac:dyDescent="0.25">
      <c r="B293" s="59" t="s">
        <v>0</v>
      </c>
      <c r="C293" s="61" t="s">
        <v>1</v>
      </c>
      <c r="D293" s="61" t="s">
        <v>2</v>
      </c>
      <c r="E293" s="61" t="s">
        <v>3</v>
      </c>
      <c r="F293" s="78" t="s">
        <v>4</v>
      </c>
      <c r="G293" s="146"/>
      <c r="I293" s="80">
        <v>14</v>
      </c>
      <c r="J293" s="64" t="str">
        <f>IF(Input!E24="","",IF(one.refer,"",Input!E24))</f>
        <v/>
      </c>
      <c r="K293" s="41" t="str">
        <f>IF(J293="","",Input!G24)</f>
        <v/>
      </c>
      <c r="L293" s="41" t="str">
        <f>IF(J293="","",Input!L24)</f>
        <v/>
      </c>
      <c r="M293" s="144" t="str">
        <f>IF(L293="","",Input!M24)</f>
        <v/>
      </c>
      <c r="N293" s="41" t="str">
        <f t="shared" si="28"/>
        <v/>
      </c>
      <c r="O293" s="67" t="str">
        <f t="shared" si="29"/>
        <v/>
      </c>
    </row>
    <row r="294" spans="2:15" ht="15.75" x14ac:dyDescent="0.25">
      <c r="B294" s="80">
        <v>1</v>
      </c>
      <c r="C294" s="64" t="str">
        <f>IF(one.analysis,"",IF(one.refer,Input!E11,""))</f>
        <v/>
      </c>
      <c r="D294" s="41" t="str">
        <f t="shared" ref="D294:D318" si="30">IF(C294="","",IF(one.refer,F172,O210))</f>
        <v/>
      </c>
      <c r="E294" s="41" t="str">
        <f t="shared" ref="E294" si="31">IF(C294="","",ABS(D294))</f>
        <v/>
      </c>
      <c r="F294" s="99" t="str">
        <f>IF($C$294="","",IF($D$294&gt;0,$D$294*$D$328,$D$294*$D$332))</f>
        <v/>
      </c>
      <c r="G294" s="147"/>
      <c r="I294" s="80">
        <v>15</v>
      </c>
      <c r="J294" s="64" t="str">
        <f>IF(Input!E25="","",IF(one.refer,"",Input!E25))</f>
        <v/>
      </c>
      <c r="K294" s="41" t="str">
        <f>IF(J294="","",Input!G25)</f>
        <v/>
      </c>
      <c r="L294" s="41" t="str">
        <f>IF(J294="","",Input!L25)</f>
        <v/>
      </c>
      <c r="M294" s="144" t="str">
        <f>IF(L294="","",Input!M25)</f>
        <v/>
      </c>
      <c r="N294" s="41" t="str">
        <f t="shared" si="28"/>
        <v/>
      </c>
      <c r="O294" s="67" t="str">
        <f t="shared" si="29"/>
        <v/>
      </c>
    </row>
    <row r="295" spans="2:15" ht="15.75" x14ac:dyDescent="0.25">
      <c r="B295" s="80">
        <v>2</v>
      </c>
      <c r="C295" s="64" t="str">
        <f>IF(one.analysis,"",IF(AND(one.refer,Input!E12&lt;&gt;""),Input!E12,""))</f>
        <v/>
      </c>
      <c r="D295" s="41" t="str">
        <f t="shared" si="30"/>
        <v/>
      </c>
      <c r="E295" s="41" t="str">
        <f t="shared" ref="E295:E318" si="32">IF(C295="","",ABS(D295))</f>
        <v/>
      </c>
      <c r="F295" s="99" t="str">
        <f t="shared" ref="F295:F318" si="33">IF(C295="","",IF(D295&gt;0,D295*$D$328,D295*$D$332))</f>
        <v/>
      </c>
      <c r="G295" s="147"/>
      <c r="I295" s="80">
        <v>16</v>
      </c>
      <c r="J295" s="64" t="str">
        <f>IF(Input!E26="","",IF(one.refer,"",Input!E26))</f>
        <v/>
      </c>
      <c r="K295" s="41" t="str">
        <f>IF(J295="","",Input!G26)</f>
        <v/>
      </c>
      <c r="L295" s="41" t="str">
        <f>IF(J295="","",Input!L26)</f>
        <v/>
      </c>
      <c r="M295" s="144" t="str">
        <f>IF(L295="","",Input!M26)</f>
        <v/>
      </c>
      <c r="N295" s="41" t="str">
        <f t="shared" si="28"/>
        <v/>
      </c>
      <c r="O295" s="67" t="str">
        <f t="shared" si="29"/>
        <v/>
      </c>
    </row>
    <row r="296" spans="2:15" ht="15.75" x14ac:dyDescent="0.25">
      <c r="B296" s="80">
        <v>3</v>
      </c>
      <c r="C296" s="64" t="str">
        <f>IF(one.analysis,"",IF(AND(one.refer,Input!E13&lt;&gt;""),Input!E13,""))</f>
        <v/>
      </c>
      <c r="D296" s="41" t="str">
        <f t="shared" si="30"/>
        <v/>
      </c>
      <c r="E296" s="41" t="str">
        <f t="shared" si="32"/>
        <v/>
      </c>
      <c r="F296" s="99" t="str">
        <f t="shared" si="33"/>
        <v/>
      </c>
      <c r="G296" s="147"/>
      <c r="I296" s="80">
        <v>17</v>
      </c>
      <c r="J296" s="64" t="str">
        <f>IF(Input!E27="","",IF(one.refer,"",Input!E27))</f>
        <v/>
      </c>
      <c r="K296" s="41" t="str">
        <f>IF(J296="","",Input!G27)</f>
        <v/>
      </c>
      <c r="L296" s="41" t="str">
        <f>IF(J296="","",Input!L27)</f>
        <v/>
      </c>
      <c r="M296" s="144" t="str">
        <f>IF(L296="","",Input!M27)</f>
        <v/>
      </c>
      <c r="N296" s="41" t="str">
        <f t="shared" si="28"/>
        <v/>
      </c>
      <c r="O296" s="67" t="str">
        <f t="shared" si="29"/>
        <v/>
      </c>
    </row>
    <row r="297" spans="2:15" ht="15.75" x14ac:dyDescent="0.25">
      <c r="B297" s="80">
        <v>4</v>
      </c>
      <c r="C297" s="64" t="str">
        <f>IF(one.analysis,"",IF(AND(one.refer,Input!E14&lt;&gt;""),Input!E14,""))</f>
        <v/>
      </c>
      <c r="D297" s="41" t="str">
        <f t="shared" si="30"/>
        <v/>
      </c>
      <c r="E297" s="41" t="str">
        <f t="shared" si="32"/>
        <v/>
      </c>
      <c r="F297" s="99" t="str">
        <f t="shared" si="33"/>
        <v/>
      </c>
      <c r="G297" s="147"/>
      <c r="I297" s="80">
        <v>18</v>
      </c>
      <c r="J297" s="64" t="str">
        <f>IF(Input!E28="","",IF(one.refer,"",Input!E28))</f>
        <v/>
      </c>
      <c r="K297" s="41" t="str">
        <f>IF(J297="","",Input!G28)</f>
        <v/>
      </c>
      <c r="L297" s="41" t="str">
        <f>IF(J297="","",Input!L28)</f>
        <v/>
      </c>
      <c r="M297" s="144" t="str">
        <f>IF(L297="","",Input!M28)</f>
        <v/>
      </c>
      <c r="N297" s="41" t="str">
        <f t="shared" si="28"/>
        <v/>
      </c>
      <c r="O297" s="67" t="str">
        <f t="shared" si="29"/>
        <v/>
      </c>
    </row>
    <row r="298" spans="2:15" ht="15.75" x14ac:dyDescent="0.25">
      <c r="B298" s="80">
        <v>5</v>
      </c>
      <c r="C298" s="64" t="str">
        <f>IF(one.analysis,"",IF(AND(one.refer,Input!E15&lt;&gt;""),Input!E15,""))</f>
        <v/>
      </c>
      <c r="D298" s="41" t="str">
        <f t="shared" si="30"/>
        <v/>
      </c>
      <c r="E298" s="41" t="str">
        <f t="shared" si="32"/>
        <v/>
      </c>
      <c r="F298" s="99" t="str">
        <f t="shared" si="33"/>
        <v/>
      </c>
      <c r="G298" s="147"/>
      <c r="I298" s="80">
        <v>19</v>
      </c>
      <c r="J298" s="64" t="str">
        <f>IF(Input!E29="","",IF(one.refer,"",Input!E29))</f>
        <v/>
      </c>
      <c r="K298" s="41" t="str">
        <f>IF(J298="","",Input!G29)</f>
        <v/>
      </c>
      <c r="L298" s="41" t="str">
        <f>IF(J298="","",Input!L29)</f>
        <v/>
      </c>
      <c r="M298" s="144" t="str">
        <f>IF(L298="","",Input!M29)</f>
        <v/>
      </c>
      <c r="N298" s="41" t="str">
        <f t="shared" si="28"/>
        <v/>
      </c>
      <c r="O298" s="67" t="str">
        <f t="shared" si="29"/>
        <v/>
      </c>
    </row>
    <row r="299" spans="2:15" ht="15.75" x14ac:dyDescent="0.25">
      <c r="B299" s="80">
        <v>6</v>
      </c>
      <c r="C299" s="64" t="str">
        <f>IF(one.analysis,"",IF(AND(one.refer,Input!E16&lt;&gt;""),Input!E16,""))</f>
        <v/>
      </c>
      <c r="D299" s="41" t="str">
        <f t="shared" si="30"/>
        <v/>
      </c>
      <c r="E299" s="41" t="str">
        <f t="shared" si="32"/>
        <v/>
      </c>
      <c r="F299" s="99" t="str">
        <f t="shared" si="33"/>
        <v/>
      </c>
      <c r="G299" s="147"/>
      <c r="I299" s="80">
        <v>20</v>
      </c>
      <c r="J299" s="64" t="str">
        <f>IF(Input!E30="","",IF(one.refer,"",Input!E30))</f>
        <v/>
      </c>
      <c r="K299" s="41" t="str">
        <f>IF(J299="","",Input!G30)</f>
        <v/>
      </c>
      <c r="L299" s="41" t="str">
        <f>IF(J299="","",Input!L30)</f>
        <v/>
      </c>
      <c r="M299" s="144" t="str">
        <f>IF(L299="","",Input!M30)</f>
        <v/>
      </c>
      <c r="N299" s="41" t="str">
        <f t="shared" si="28"/>
        <v/>
      </c>
      <c r="O299" s="67" t="str">
        <f t="shared" si="29"/>
        <v/>
      </c>
    </row>
    <row r="300" spans="2:15" ht="15.75" x14ac:dyDescent="0.25">
      <c r="B300" s="80">
        <v>7</v>
      </c>
      <c r="C300" s="64" t="str">
        <f>IF(one.analysis,"",IF(AND(one.refer,Input!E17&lt;&gt;""),Input!E17,""))</f>
        <v/>
      </c>
      <c r="D300" s="41" t="str">
        <f t="shared" si="30"/>
        <v/>
      </c>
      <c r="E300" s="41" t="str">
        <f t="shared" si="32"/>
        <v/>
      </c>
      <c r="F300" s="99" t="str">
        <f t="shared" si="33"/>
        <v/>
      </c>
      <c r="G300" s="147"/>
      <c r="I300" s="80">
        <v>21</v>
      </c>
      <c r="J300" s="64" t="str">
        <f>IF(Input!E31="","",IF(one.refer,"",Input!E31))</f>
        <v/>
      </c>
      <c r="K300" s="41" t="str">
        <f>IF(J300="","",Input!G31)</f>
        <v/>
      </c>
      <c r="L300" s="41" t="str">
        <f>IF(J300="","",Input!L31)</f>
        <v/>
      </c>
      <c r="M300" s="144" t="str">
        <f>IF(L300="","",Input!M31)</f>
        <v/>
      </c>
      <c r="N300" s="41" t="str">
        <f t="shared" si="28"/>
        <v/>
      </c>
      <c r="O300" s="67" t="str">
        <f t="shared" si="29"/>
        <v/>
      </c>
    </row>
    <row r="301" spans="2:15" ht="15.75" x14ac:dyDescent="0.25">
      <c r="B301" s="80">
        <v>8</v>
      </c>
      <c r="C301" s="64" t="str">
        <f>IF(one.analysis,"",IF(AND(one.refer,Input!E18&lt;&gt;""),Input!E18,""))</f>
        <v/>
      </c>
      <c r="D301" s="41" t="str">
        <f t="shared" si="30"/>
        <v/>
      </c>
      <c r="E301" s="41" t="str">
        <f t="shared" si="32"/>
        <v/>
      </c>
      <c r="F301" s="99" t="str">
        <f t="shared" si="33"/>
        <v/>
      </c>
      <c r="G301" s="147"/>
      <c r="I301" s="80">
        <v>22</v>
      </c>
      <c r="J301" s="64" t="str">
        <f>IF(Input!E32="","",IF(one.refer,"",Input!E32))</f>
        <v/>
      </c>
      <c r="K301" s="41" t="str">
        <f>IF(J301="","",Input!G32)</f>
        <v/>
      </c>
      <c r="L301" s="41" t="str">
        <f>IF(J301="","",Input!L32)</f>
        <v/>
      </c>
      <c r="M301" s="144" t="str">
        <f>IF(L301="","",Input!M32)</f>
        <v/>
      </c>
      <c r="N301" s="41" t="str">
        <f t="shared" si="28"/>
        <v/>
      </c>
      <c r="O301" s="67" t="str">
        <f t="shared" si="29"/>
        <v/>
      </c>
    </row>
    <row r="302" spans="2:15" ht="15.75" x14ac:dyDescent="0.25">
      <c r="B302" s="80">
        <v>9</v>
      </c>
      <c r="C302" s="64" t="str">
        <f>IF(one.analysis,"",IF(AND(one.refer,Input!E19&lt;&gt;""),Input!E19,""))</f>
        <v/>
      </c>
      <c r="D302" s="41" t="str">
        <f t="shared" si="30"/>
        <v/>
      </c>
      <c r="E302" s="41" t="str">
        <f t="shared" si="32"/>
        <v/>
      </c>
      <c r="F302" s="99" t="str">
        <f t="shared" si="33"/>
        <v/>
      </c>
      <c r="G302" s="147"/>
      <c r="I302" s="80">
        <v>23</v>
      </c>
      <c r="J302" s="64" t="str">
        <f>IF(Input!E33="","",IF(one.refer,"",Input!E33))</f>
        <v/>
      </c>
      <c r="K302" s="41" t="str">
        <f>IF(J302="","",Input!G33)</f>
        <v/>
      </c>
      <c r="L302" s="41" t="str">
        <f>IF(J302="","",Input!L33)</f>
        <v/>
      </c>
      <c r="M302" s="144" t="str">
        <f>IF(L302="","",Input!M33)</f>
        <v/>
      </c>
      <c r="N302" s="41" t="str">
        <f t="shared" si="28"/>
        <v/>
      </c>
      <c r="O302" s="67" t="str">
        <f t="shared" si="29"/>
        <v/>
      </c>
    </row>
    <row r="303" spans="2:15" ht="15.75" x14ac:dyDescent="0.25">
      <c r="B303" s="80">
        <v>10</v>
      </c>
      <c r="C303" s="64" t="str">
        <f>IF(one.analysis,"",IF(AND(one.refer,Input!E20&lt;&gt;""),Input!E20,""))</f>
        <v/>
      </c>
      <c r="D303" s="41" t="str">
        <f t="shared" si="30"/>
        <v/>
      </c>
      <c r="E303" s="41" t="str">
        <f t="shared" si="32"/>
        <v/>
      </c>
      <c r="F303" s="99" t="str">
        <f t="shared" si="33"/>
        <v/>
      </c>
      <c r="G303" s="147"/>
      <c r="I303" s="80">
        <v>24</v>
      </c>
      <c r="J303" s="64" t="str">
        <f>IF(Input!E34="","",IF(one.refer,"",Input!E34))</f>
        <v/>
      </c>
      <c r="K303" s="41" t="str">
        <f>IF(J303="","",Input!G34)</f>
        <v/>
      </c>
      <c r="L303" s="41" t="str">
        <f>IF(J303="","",Input!L34)</f>
        <v/>
      </c>
      <c r="M303" s="144" t="str">
        <f>IF(L303="","",Input!M34)</f>
        <v/>
      </c>
      <c r="N303" s="41" t="str">
        <f t="shared" si="28"/>
        <v/>
      </c>
      <c r="O303" s="67" t="str">
        <f t="shared" si="29"/>
        <v/>
      </c>
    </row>
    <row r="304" spans="2:15" ht="15.75" x14ac:dyDescent="0.25">
      <c r="B304" s="80">
        <v>11</v>
      </c>
      <c r="C304" s="64" t="str">
        <f>IF(one.analysis,"",IF(AND(one.refer,Input!E21&lt;&gt;""),Input!E21,""))</f>
        <v/>
      </c>
      <c r="D304" s="41" t="str">
        <f t="shared" si="30"/>
        <v/>
      </c>
      <c r="E304" s="41" t="str">
        <f t="shared" si="32"/>
        <v/>
      </c>
      <c r="F304" s="99" t="str">
        <f t="shared" si="33"/>
        <v/>
      </c>
      <c r="G304" s="147"/>
      <c r="I304" s="80">
        <v>25</v>
      </c>
      <c r="J304" s="64" t="str">
        <f>IF(Input!E35="","",IF(one.refer,"",Input!E35))</f>
        <v/>
      </c>
      <c r="K304" s="41" t="str">
        <f>IF(J304="","",Input!G35)</f>
        <v/>
      </c>
      <c r="L304" s="41" t="str">
        <f>IF(J304="","",Input!L35)</f>
        <v/>
      </c>
      <c r="M304" s="144" t="str">
        <f>IF(L304="","",Input!M35)</f>
        <v/>
      </c>
      <c r="N304" s="41" t="str">
        <f t="shared" si="28"/>
        <v/>
      </c>
      <c r="O304" s="67" t="str">
        <f t="shared" si="29"/>
        <v/>
      </c>
    </row>
    <row r="305" spans="2:15" ht="16.5" thickBot="1" x14ac:dyDescent="0.3">
      <c r="B305" s="80">
        <v>12</v>
      </c>
      <c r="C305" s="64" t="str">
        <f>IF(one.analysis,"",IF(AND(one.refer,Input!E22&lt;&gt;""),Input!E22,""))</f>
        <v/>
      </c>
      <c r="D305" s="41" t="str">
        <f t="shared" si="30"/>
        <v/>
      </c>
      <c r="E305" s="41" t="str">
        <f t="shared" si="32"/>
        <v/>
      </c>
      <c r="F305" s="99" t="str">
        <f t="shared" si="33"/>
        <v/>
      </c>
      <c r="G305" s="147"/>
      <c r="I305" s="84" t="s">
        <v>23</v>
      </c>
      <c r="J305" s="85" t="s">
        <v>24</v>
      </c>
      <c r="K305" s="86" t="str">
        <f>IF(J280="","",SUM(K280:K304))</f>
        <v/>
      </c>
      <c r="L305" s="86" t="str">
        <f>IF(K305="","",SUM(L280:L304))</f>
        <v/>
      </c>
      <c r="M305" s="148" t="s">
        <v>24</v>
      </c>
      <c r="N305" s="86" t="str">
        <f>IF(K305="","",SUM(N280:N292))</f>
        <v/>
      </c>
      <c r="O305" s="149" t="str">
        <f>IF(K305="","",ROUND(((N305-K305)/K305),3))</f>
        <v/>
      </c>
    </row>
    <row r="306" spans="2:15" ht="15.75" x14ac:dyDescent="0.25">
      <c r="B306" s="80">
        <v>13</v>
      </c>
      <c r="C306" s="64" t="str">
        <f>IF(one.analysis,"",IF(AND(one.refer,Input!E23&lt;&gt;""),Input!E23,""))</f>
        <v/>
      </c>
      <c r="D306" s="41" t="str">
        <f t="shared" si="30"/>
        <v/>
      </c>
      <c r="E306" s="41" t="str">
        <f t="shared" si="32"/>
        <v/>
      </c>
      <c r="F306" s="99" t="str">
        <f t="shared" si="33"/>
        <v/>
      </c>
      <c r="G306" s="147"/>
    </row>
    <row r="307" spans="2:15" ht="15.75" x14ac:dyDescent="0.25">
      <c r="B307" s="80">
        <v>14</v>
      </c>
      <c r="C307" s="64" t="str">
        <f>IF(one.analysis,"",IF(AND(one.refer,Input!E24&lt;&gt;""),Input!E24,""))</f>
        <v/>
      </c>
      <c r="D307" s="41" t="str">
        <f t="shared" si="30"/>
        <v/>
      </c>
      <c r="E307" s="41" t="str">
        <f t="shared" si="32"/>
        <v/>
      </c>
      <c r="F307" s="99" t="str">
        <f t="shared" si="33"/>
        <v/>
      </c>
      <c r="G307" s="147"/>
    </row>
    <row r="308" spans="2:15" ht="15.75" x14ac:dyDescent="0.25">
      <c r="B308" s="80">
        <v>15</v>
      </c>
      <c r="C308" s="64" t="str">
        <f>IF(one.analysis,"",IF(AND(one.refer,Input!E25&lt;&gt;""),Input!E25,""))</f>
        <v/>
      </c>
      <c r="D308" s="41" t="str">
        <f t="shared" si="30"/>
        <v/>
      </c>
      <c r="E308" s="41" t="str">
        <f t="shared" si="32"/>
        <v/>
      </c>
      <c r="F308" s="99" t="str">
        <f t="shared" si="33"/>
        <v/>
      </c>
      <c r="G308" s="147"/>
      <c r="J308" s="44" t="str">
        <f>IF(one.refer,"",IF(adjust=1,"","Adjustment = "))</f>
        <v/>
      </c>
      <c r="K308" s="93" t="str">
        <f>IF(one.refer,"",IF(adjust=1,"",adjust))</f>
        <v/>
      </c>
    </row>
    <row r="309" spans="2:15" ht="15.75" x14ac:dyDescent="0.25">
      <c r="B309" s="80">
        <v>16</v>
      </c>
      <c r="C309" s="64" t="str">
        <f>IF(one.analysis,"",IF(AND(one.refer,Input!E26&lt;&gt;""),Input!E26,""))</f>
        <v/>
      </c>
      <c r="D309" s="41" t="str">
        <f t="shared" si="30"/>
        <v/>
      </c>
      <c r="E309" s="41" t="str">
        <f t="shared" si="32"/>
        <v/>
      </c>
      <c r="F309" s="99" t="str">
        <f t="shared" si="33"/>
        <v/>
      </c>
      <c r="G309" s="147"/>
    </row>
    <row r="310" spans="2:15" ht="15.75" x14ac:dyDescent="0.25">
      <c r="B310" s="80">
        <v>17</v>
      </c>
      <c r="C310" s="64" t="str">
        <f>IF(one.analysis,"",IF(AND(one.refer,Input!E27&lt;&gt;""),Input!E27,""))</f>
        <v/>
      </c>
      <c r="D310" s="41" t="str">
        <f t="shared" si="30"/>
        <v/>
      </c>
      <c r="E310" s="41" t="str">
        <f t="shared" si="32"/>
        <v/>
      </c>
      <c r="F310" s="99" t="str">
        <f t="shared" si="33"/>
        <v/>
      </c>
      <c r="G310" s="147"/>
      <c r="J310" s="44" t="str">
        <f>IF(one.refer,"","x^"&amp;target&amp;" = ")</f>
        <v/>
      </c>
      <c r="K310" s="150" t="str">
        <f>IF(one.refer,"",IF(adjust=1,"(x{1}^"&amp;target&amp;")(s{1}^"&amp;target&amp;")","(Adjustment)(x{1}^"&amp;target&amp;")(s{1}^"&amp;target&amp;"]"))</f>
        <v/>
      </c>
    </row>
    <row r="311" spans="2:15" ht="15.75" x14ac:dyDescent="0.25">
      <c r="B311" s="80">
        <v>18</v>
      </c>
      <c r="C311" s="64" t="str">
        <f>IF(one.analysis,"",IF(AND(one.refer,Input!E28&lt;&gt;""),Input!E28,""))</f>
        <v/>
      </c>
      <c r="D311" s="41" t="str">
        <f t="shared" si="30"/>
        <v/>
      </c>
      <c r="E311" s="41" t="str">
        <f t="shared" si="32"/>
        <v/>
      </c>
      <c r="F311" s="99" t="str">
        <f t="shared" si="33"/>
        <v/>
      </c>
      <c r="G311" s="147"/>
      <c r="J311" s="103" t="str">
        <f>IF(OR(one.analysis,one.refer),"","  = ")</f>
        <v/>
      </c>
      <c r="K311" s="73" t="str">
        <f>IF(one.refer,"",IF(adjust=1,"("&amp;TEXT($L$280,"#,###")&amp;")("&amp;TEXT($M$280,"0.##0")&amp;")","("&amp;TEXT($K$308,"0.###0")&amp;")("&amp;TEXT($L$280,"#,###")&amp;")("&amp;TEXT($M$280,"0.###")&amp;")"))</f>
        <v/>
      </c>
      <c r="L311" s="256"/>
    </row>
    <row r="312" spans="2:15" ht="15.75" x14ac:dyDescent="0.25">
      <c r="B312" s="80">
        <v>19</v>
      </c>
      <c r="C312" s="64" t="str">
        <f>IF(one.analysis,"",IF(AND(one.refer,Input!E29&lt;&gt;""),Input!E29,""))</f>
        <v/>
      </c>
      <c r="D312" s="41" t="str">
        <f t="shared" si="30"/>
        <v/>
      </c>
      <c r="E312" s="41" t="str">
        <f t="shared" si="32"/>
        <v/>
      </c>
      <c r="F312" s="99" t="str">
        <f t="shared" si="33"/>
        <v/>
      </c>
      <c r="G312" s="147"/>
      <c r="H312" s="90"/>
      <c r="J312" s="103" t="str">
        <f>IF(OR(one.analysis,one.refer),"","  = ")</f>
        <v/>
      </c>
      <c r="K312" s="73" t="str">
        <f>IF(one.refer,"",IF(adjust=1,$L$280*$M$280,$L$280*$M$280*$K$308))</f>
        <v/>
      </c>
    </row>
    <row r="313" spans="2:15" ht="15.75" x14ac:dyDescent="0.25">
      <c r="B313" s="80">
        <v>20</v>
      </c>
      <c r="C313" s="64" t="str">
        <f>IF(one.analysis,"",IF(AND(one.refer,Input!E30&lt;&gt;""),Input!E30,""))</f>
        <v/>
      </c>
      <c r="D313" s="41" t="str">
        <f t="shared" si="30"/>
        <v/>
      </c>
      <c r="E313" s="41" t="str">
        <f t="shared" si="32"/>
        <v/>
      </c>
      <c r="F313" s="99" t="str">
        <f t="shared" si="33"/>
        <v/>
      </c>
      <c r="G313" s="147"/>
    </row>
    <row r="314" spans="2:15" ht="15.75" x14ac:dyDescent="0.25">
      <c r="B314" s="80">
        <v>21</v>
      </c>
      <c r="C314" s="64" t="str">
        <f>IF(one.analysis,"",IF(AND(one.refer,Input!E31&lt;&gt;""),Input!E31,""))</f>
        <v/>
      </c>
      <c r="D314" s="41" t="str">
        <f t="shared" si="30"/>
        <v/>
      </c>
      <c r="E314" s="41" t="str">
        <f t="shared" si="32"/>
        <v/>
      </c>
      <c r="F314" s="99" t="str">
        <f t="shared" si="33"/>
        <v/>
      </c>
      <c r="G314" s="147"/>
    </row>
    <row r="315" spans="2:15" ht="15.75" x14ac:dyDescent="0.25">
      <c r="B315" s="80">
        <v>22</v>
      </c>
      <c r="C315" s="64" t="str">
        <f>IF(one.analysis,"",IF(AND(one.refer,Input!E32&lt;&gt;""),Input!E32,""))</f>
        <v/>
      </c>
      <c r="D315" s="41" t="str">
        <f t="shared" si="30"/>
        <v/>
      </c>
      <c r="E315" s="41" t="str">
        <f t="shared" si="32"/>
        <v/>
      </c>
      <c r="F315" s="99" t="str">
        <f t="shared" si="33"/>
        <v/>
      </c>
      <c r="G315" s="147"/>
    </row>
    <row r="316" spans="2:15" ht="15.75" x14ac:dyDescent="0.25">
      <c r="B316" s="80">
        <v>23</v>
      </c>
      <c r="C316" s="64" t="str">
        <f>IF(one.analysis,"",IF(AND(one.refer,Input!E33&lt;&gt;""),Input!E33,""))</f>
        <v/>
      </c>
      <c r="D316" s="41" t="str">
        <f t="shared" si="30"/>
        <v/>
      </c>
      <c r="E316" s="41" t="str">
        <f t="shared" si="32"/>
        <v/>
      </c>
      <c r="F316" s="99" t="str">
        <f t="shared" si="33"/>
        <v/>
      </c>
      <c r="G316" s="147"/>
    </row>
    <row r="317" spans="2:15" ht="15.75" x14ac:dyDescent="0.25">
      <c r="B317" s="80">
        <v>24</v>
      </c>
      <c r="C317" s="64" t="str">
        <f>IF(one.analysis,"",IF(AND(one.refer,Input!E34&lt;&gt;""),Input!E34,""))</f>
        <v/>
      </c>
      <c r="D317" s="41" t="str">
        <f t="shared" si="30"/>
        <v/>
      </c>
      <c r="E317" s="41" t="str">
        <f t="shared" si="32"/>
        <v/>
      </c>
      <c r="F317" s="99" t="str">
        <f t="shared" si="33"/>
        <v/>
      </c>
      <c r="G317" s="147"/>
    </row>
    <row r="318" spans="2:15" ht="15.75" x14ac:dyDescent="0.25">
      <c r="B318" s="80">
        <v>25</v>
      </c>
      <c r="C318" s="64" t="str">
        <f>IF(one.analysis,"",IF(AND(one.refer,Input!E35&lt;&gt;""),Input!E35,""))</f>
        <v/>
      </c>
      <c r="D318" s="41" t="str">
        <f t="shared" si="30"/>
        <v/>
      </c>
      <c r="E318" s="41" t="str">
        <f t="shared" si="32"/>
        <v/>
      </c>
      <c r="F318" s="99" t="str">
        <f t="shared" si="33"/>
        <v/>
      </c>
      <c r="G318" s="147"/>
    </row>
    <row r="319" spans="2:15" ht="15.75" thickBot="1" x14ac:dyDescent="0.3">
      <c r="B319" s="84" t="s">
        <v>23</v>
      </c>
      <c r="C319" s="85" t="s">
        <v>24</v>
      </c>
      <c r="D319" s="86" t="str">
        <f>IF(C294="","",SUM(D294:D318))</f>
        <v/>
      </c>
      <c r="E319" s="86" t="str">
        <f>IF(D319="","",SUM(E294:E318))</f>
        <v/>
      </c>
      <c r="F319" s="101" t="str">
        <f>IF(D319="","",SUM(F294:F306))</f>
        <v/>
      </c>
      <c r="G319" s="151"/>
    </row>
    <row r="322" spans="3:4" x14ac:dyDescent="0.25">
      <c r="C322" s="44" t="str">
        <f>IF(C294="","",sum&amp;"|n{i} | =")</f>
        <v/>
      </c>
      <c r="D322" s="73" t="str">
        <f>IF(C294="","",E319)</f>
        <v/>
      </c>
    </row>
    <row r="323" spans="3:4" x14ac:dyDescent="0.25">
      <c r="C323" s="44" t="str">
        <f>IF(C294="","","N = ")</f>
        <v/>
      </c>
      <c r="D323" s="73" t="str">
        <f>IF(C294="","",X.target-X.launch)</f>
        <v/>
      </c>
    </row>
    <row r="324" spans="3:4" x14ac:dyDescent="0.25">
      <c r="C324" s="44" t="str">
        <f>IF(C294="","","n = ")</f>
        <v/>
      </c>
      <c r="D324" s="73" t="str">
        <f>IF(C294="","",D319)</f>
        <v/>
      </c>
    </row>
    <row r="325" spans="3:4" x14ac:dyDescent="0.25">
      <c r="C325" s="44"/>
      <c r="D325" s="150"/>
    </row>
    <row r="326" spans="3:4" x14ac:dyDescent="0.25">
      <c r="C326" s="44" t="str">
        <f>IF(C294="","","f{1} = ")</f>
        <v/>
      </c>
      <c r="D326" s="150" t="str">
        <f>IF(C294="","",sum&amp;"|n{i}|+ (N - n) / "&amp;sum&amp;"|n{i}|     (n{i} &gt; 0)")</f>
        <v/>
      </c>
    </row>
    <row r="327" spans="3:4" x14ac:dyDescent="0.25">
      <c r="C327" s="103" t="str">
        <f>IF(C294="","","= ")</f>
        <v/>
      </c>
      <c r="D327" s="93" t="str">
        <f>IF($C$294="","",TEXT($D$322,"#,###")&amp;"+ ("&amp;TEXT($D$323,"#,###")&amp;" - "&amp;TEXT($D$324,"#,###")&amp;") / "&amp;TEXT($D$322,"#,###"))</f>
        <v/>
      </c>
    </row>
    <row r="328" spans="3:4" x14ac:dyDescent="0.25">
      <c r="C328" s="103" t="str">
        <f>IF(C294="","","= ")</f>
        <v/>
      </c>
      <c r="D328" s="93" t="str">
        <f>IF($C$294="","",($D$322+($D$323-$D$324))/$D$322)</f>
        <v/>
      </c>
    </row>
    <row r="329" spans="3:4" x14ac:dyDescent="0.25">
      <c r="C329" s="44"/>
      <c r="D329" s="150"/>
    </row>
    <row r="330" spans="3:4" x14ac:dyDescent="0.25">
      <c r="C330" s="44" t="str">
        <f>IF(C294="","","f{2} =")</f>
        <v/>
      </c>
      <c r="D330" s="150" t="str">
        <f>IF(C294="","",IF(D294&gt;0,sum&amp;"|n{i}|- (N - n)  ] / " &amp;sum&amp;"|n{i}|     (n{i}&lt; 0)","&lt;0"))</f>
        <v/>
      </c>
    </row>
    <row r="331" spans="3:4" x14ac:dyDescent="0.25">
      <c r="C331" s="103" t="str">
        <f>IF(C294="","","= ")</f>
        <v/>
      </c>
      <c r="D331" s="93" t="str">
        <f>IF($C$294="","",TEXT($D$322,"#,###")&amp;" - ("&amp;TEXT($D$323,"#,###")&amp;" - "&amp;TEXT($D$324,"#,###")&amp;" ) / "&amp;TEXT($D$322,"#,###"))</f>
        <v/>
      </c>
    </row>
    <row r="332" spans="3:4" x14ac:dyDescent="0.25">
      <c r="C332" s="103" t="str">
        <f>IF(C294="","","= ")</f>
        <v/>
      </c>
      <c r="D332" s="93" t="str">
        <f>IF($C$294="","",($D$322-($D$323-$D$324))/$D$322)</f>
        <v/>
      </c>
    </row>
    <row r="333" spans="3:4" x14ac:dyDescent="0.25">
      <c r="C333" s="103"/>
      <c r="D333" s="93"/>
    </row>
    <row r="334" spans="3:4" ht="15.75" x14ac:dyDescent="0.25">
      <c r="C334" s="260" t="str">
        <f>IF(C294="","",delta&amp;"xi^{"&amp;launch&amp;","&amp;target&amp;"} = ")</f>
        <v/>
      </c>
      <c r="D334" t="str">
        <f>IF(C294="","",IF(D294&gt;0,delta&amp;"xi^{"&amp;base&amp;","&amp;launch&amp;"})(f{1})              ("&amp;delta&amp;"xi^{"&amp;base&amp;","&amp;launch&amp;"} &gt; 0)",delta&amp;"xi^{"&amp;base&amp;","&amp;launch&amp;"})(f{2})              ("&amp;delta&amp;"xi^{"&amp;base&amp;","&amp;launch&amp;"} &lt; 0)"))</f>
        <v/>
      </c>
    </row>
    <row r="335" spans="3:4" x14ac:dyDescent="0.25">
      <c r="C335" s="103" t="str">
        <f>IF(C294="","","= ")</f>
        <v/>
      </c>
      <c r="D335" s="261" t="str">
        <f>IF($C$294="","",IF($D$294&gt;0,"("&amp;TEXT($D$294,"#,###")&amp;")("&amp;TEXT($D$328,"0.###0")&amp;")","("&amp;TEXT($D$294,"#,###"&amp;")("&amp;TEXT($D$332,"0.###0")&amp;")")))</f>
        <v/>
      </c>
    </row>
    <row r="336" spans="3:4" x14ac:dyDescent="0.25">
      <c r="C336" s="103" t="str">
        <f>IF(C294="","","= ")</f>
        <v/>
      </c>
      <c r="D336" s="261" t="str">
        <f>IF($C$294="","",IF($D$294&gt;0,$D$294*$D$328,$D$294*$D$332))</f>
        <v/>
      </c>
    </row>
    <row r="337" spans="2:8" x14ac:dyDescent="0.25">
      <c r="C337" s="44"/>
    </row>
    <row r="338" spans="2:8" x14ac:dyDescent="0.25">
      <c r="D338" s="152"/>
      <c r="H338" s="44"/>
    </row>
    <row r="339" spans="2:8" x14ac:dyDescent="0.25">
      <c r="B339" t="s">
        <v>131</v>
      </c>
    </row>
    <row r="340" spans="2:8" ht="15.75" thickBot="1" x14ac:dyDescent="0.3"/>
    <row r="341" spans="2:8" ht="15.75" x14ac:dyDescent="0.25">
      <c r="B341" s="15" t="str">
        <f>IF(OR(one.analysis,NOT(one.refer)),"","Component")</f>
        <v/>
      </c>
      <c r="C341" s="74" t="str">
        <f>IF(OR(one.analysis,NOT(one.refer)),"",study.label)</f>
        <v/>
      </c>
      <c r="D341" s="74" t="str">
        <f>IF(OR(one.analysis,NOT(one.refer)),"",launch)</f>
        <v/>
      </c>
      <c r="E341" s="94" t="str">
        <f>IF(OR(one.analysis,NOT(one.refer)),"","Adjusted")</f>
        <v/>
      </c>
      <c r="F341" s="94" t="str">
        <f>IF(OR(one.analysis,NOT(one.refer)),"",target)</f>
        <v/>
      </c>
      <c r="G341" s="53" t="str">
        <f>IF(OR(one.analysis,NOT(one.refer)),"","Growth Rate")</f>
        <v/>
      </c>
    </row>
    <row r="342" spans="2:8" ht="15.75" x14ac:dyDescent="0.25">
      <c r="B342" s="22"/>
      <c r="C342" s="75"/>
      <c r="D342" s="75" t="str">
        <f>IF(OR(one.analysis,NOT(one.refer)),"",variable)</f>
        <v/>
      </c>
      <c r="E342" s="95" t="str">
        <f>IF(OR(one.analysis,NOT(one.refer)),"","Change")</f>
        <v/>
      </c>
      <c r="F342" s="95" t="str">
        <f>IF(OR(one.analysis,NOT(one.refer)),"",variable)</f>
        <v/>
      </c>
      <c r="G342" s="57"/>
    </row>
    <row r="343" spans="2:8" ht="15.75" x14ac:dyDescent="0.25">
      <c r="B343" s="40" t="str">
        <f>IF(OR(one.analysis,NOT(one.refer)),"","i")</f>
        <v/>
      </c>
      <c r="C343" s="75"/>
      <c r="D343" s="96" t="str">
        <f>IF(OR(one.analysis,NOT(one.refer)),"","xi^"&amp;launch)</f>
        <v/>
      </c>
      <c r="E343" s="97" t="str">
        <f>IF(OR(one.analysis,NOT(one.refer)),"",delta&amp;"xi^"&amp;launch&amp;","&amp;target)</f>
        <v/>
      </c>
      <c r="F343" s="97" t="str">
        <f>IF(OR(one.analysis,NOT(one.refer)),"","xi^"&amp;target)</f>
        <v/>
      </c>
      <c r="G343" s="57" t="str">
        <f>IF(OR(one.analysis,NOT(one.refer)),"","ri^"&amp;base&amp;","&amp;target)</f>
        <v/>
      </c>
    </row>
    <row r="344" spans="2:8" ht="15.75" x14ac:dyDescent="0.25">
      <c r="B344" s="59" t="s">
        <v>0</v>
      </c>
      <c r="C344" s="61" t="s">
        <v>1</v>
      </c>
      <c r="D344" s="61" t="s">
        <v>2</v>
      </c>
      <c r="E344" s="61" t="s">
        <v>3</v>
      </c>
      <c r="F344" s="78" t="s">
        <v>4</v>
      </c>
      <c r="G344" s="62" t="s">
        <v>5</v>
      </c>
    </row>
    <row r="345" spans="2:8" ht="15.75" x14ac:dyDescent="0.25">
      <c r="B345" s="80">
        <v>1</v>
      </c>
      <c r="C345" s="64" t="str">
        <f>IF(one.analysis,"",IF(one.refer,IF(Input!E11="","",Input!E11),""))</f>
        <v/>
      </c>
      <c r="D345" s="41" t="str">
        <f>IF(C345="","",Input!G11)</f>
        <v/>
      </c>
      <c r="E345" s="41" t="str">
        <f t="shared" ref="E345:E369" si="34">IF(C345="","",F294)</f>
        <v/>
      </c>
      <c r="F345" s="99" t="str">
        <f t="shared" ref="F345" si="35">IF(C345="","",D345+E345)</f>
        <v/>
      </c>
      <c r="G345" s="67" t="str">
        <f t="shared" ref="G345" si="36">IF(D345="","",ROUND(((F345-D345)/D345),3))</f>
        <v/>
      </c>
    </row>
    <row r="346" spans="2:8" ht="15.75" x14ac:dyDescent="0.25">
      <c r="B346" s="80">
        <v>2</v>
      </c>
      <c r="C346" s="64" t="str">
        <f>IF(one.analysis,"",IF(one.refer,IF(Input!E12="","",Input!E12),""))</f>
        <v/>
      </c>
      <c r="D346" s="41" t="str">
        <f>IF(C346="","",Input!G12)</f>
        <v/>
      </c>
      <c r="E346" s="41" t="str">
        <f t="shared" si="34"/>
        <v/>
      </c>
      <c r="F346" s="99" t="str">
        <f t="shared" ref="F346:F369" si="37">IF(C346="","",D346+E346)</f>
        <v/>
      </c>
      <c r="G346" s="67" t="str">
        <f t="shared" ref="G346:G370" si="38">IF(D346="","",ROUND(((F346-D346)/D346),3))</f>
        <v/>
      </c>
    </row>
    <row r="347" spans="2:8" ht="15.75" x14ac:dyDescent="0.25">
      <c r="B347" s="80">
        <v>3</v>
      </c>
      <c r="C347" s="64" t="str">
        <f>IF(one.analysis,"",IF(one.refer,IF(Input!E13="","",Input!E13),""))</f>
        <v/>
      </c>
      <c r="D347" s="41" t="str">
        <f>IF(C347="","",Input!G13)</f>
        <v/>
      </c>
      <c r="E347" s="41" t="str">
        <f t="shared" si="34"/>
        <v/>
      </c>
      <c r="F347" s="99" t="str">
        <f t="shared" si="37"/>
        <v/>
      </c>
      <c r="G347" s="67" t="str">
        <f t="shared" si="38"/>
        <v/>
      </c>
    </row>
    <row r="348" spans="2:8" ht="15.75" x14ac:dyDescent="0.25">
      <c r="B348" s="80">
        <v>4</v>
      </c>
      <c r="C348" s="64" t="str">
        <f>IF(one.analysis,"",IF(one.refer,IF(Input!E14="","",Input!E14),""))</f>
        <v/>
      </c>
      <c r="D348" s="41" t="str">
        <f>IF(C348="","",Input!G14)</f>
        <v/>
      </c>
      <c r="E348" s="41" t="str">
        <f t="shared" si="34"/>
        <v/>
      </c>
      <c r="F348" s="99" t="str">
        <f t="shared" si="37"/>
        <v/>
      </c>
      <c r="G348" s="67" t="str">
        <f t="shared" si="38"/>
        <v/>
      </c>
    </row>
    <row r="349" spans="2:8" ht="15.75" x14ac:dyDescent="0.25">
      <c r="B349" s="80">
        <v>5</v>
      </c>
      <c r="C349" s="64" t="str">
        <f>IF(one.analysis,"",IF(one.refer,IF(Input!E15="","",Input!E15),""))</f>
        <v/>
      </c>
      <c r="D349" s="41" t="str">
        <f>IF(C349="","",Input!G15)</f>
        <v/>
      </c>
      <c r="E349" s="41" t="str">
        <f t="shared" si="34"/>
        <v/>
      </c>
      <c r="F349" s="99" t="str">
        <f t="shared" si="37"/>
        <v/>
      </c>
      <c r="G349" s="67" t="str">
        <f t="shared" si="38"/>
        <v/>
      </c>
    </row>
    <row r="350" spans="2:8" ht="15.75" x14ac:dyDescent="0.25">
      <c r="B350" s="80">
        <v>6</v>
      </c>
      <c r="C350" s="64" t="str">
        <f>IF(one.analysis,"",IF(one.refer,IF(Input!E16="","",Input!E16),""))</f>
        <v/>
      </c>
      <c r="D350" s="41" t="str">
        <f>IF(C350="","",Input!G16)</f>
        <v/>
      </c>
      <c r="E350" s="41" t="str">
        <f t="shared" si="34"/>
        <v/>
      </c>
      <c r="F350" s="99" t="str">
        <f t="shared" si="37"/>
        <v/>
      </c>
      <c r="G350" s="67" t="str">
        <f t="shared" si="38"/>
        <v/>
      </c>
    </row>
    <row r="351" spans="2:8" ht="15.75" x14ac:dyDescent="0.25">
      <c r="B351" s="80">
        <v>7</v>
      </c>
      <c r="C351" s="64" t="str">
        <f>IF(one.analysis,"",IF(one.refer,IF(Input!E17="","",Input!E17),""))</f>
        <v/>
      </c>
      <c r="D351" s="41" t="str">
        <f>IF(C351="","",Input!G17)</f>
        <v/>
      </c>
      <c r="E351" s="41" t="str">
        <f t="shared" si="34"/>
        <v/>
      </c>
      <c r="F351" s="99" t="str">
        <f t="shared" si="37"/>
        <v/>
      </c>
      <c r="G351" s="67" t="str">
        <f t="shared" si="38"/>
        <v/>
      </c>
    </row>
    <row r="352" spans="2:8" ht="15.75" x14ac:dyDescent="0.25">
      <c r="B352" s="80">
        <v>8</v>
      </c>
      <c r="C352" s="64" t="str">
        <f>IF(one.analysis,"",IF(one.refer,IF(Input!E18="","",Input!E18),""))</f>
        <v/>
      </c>
      <c r="D352" s="41" t="str">
        <f>IF(C352="","",Input!G18)</f>
        <v/>
      </c>
      <c r="E352" s="41" t="str">
        <f t="shared" si="34"/>
        <v/>
      </c>
      <c r="F352" s="99" t="str">
        <f t="shared" si="37"/>
        <v/>
      </c>
      <c r="G352" s="67" t="str">
        <f t="shared" si="38"/>
        <v/>
      </c>
    </row>
    <row r="353" spans="2:7" ht="15.75" x14ac:dyDescent="0.25">
      <c r="B353" s="80">
        <v>9</v>
      </c>
      <c r="C353" s="64" t="str">
        <f>IF(one.analysis,"",IF(one.refer,IF(Input!E19="","",Input!E19),""))</f>
        <v/>
      </c>
      <c r="D353" s="41" t="str">
        <f>IF(C353="","",Input!G19)</f>
        <v/>
      </c>
      <c r="E353" s="41" t="str">
        <f t="shared" si="34"/>
        <v/>
      </c>
      <c r="F353" s="99" t="str">
        <f t="shared" si="37"/>
        <v/>
      </c>
      <c r="G353" s="67" t="str">
        <f t="shared" si="38"/>
        <v/>
      </c>
    </row>
    <row r="354" spans="2:7" ht="15.75" x14ac:dyDescent="0.25">
      <c r="B354" s="80">
        <v>10</v>
      </c>
      <c r="C354" s="64" t="str">
        <f>IF(one.analysis,"",IF(one.refer,IF(Input!E20="","",Input!E20),""))</f>
        <v/>
      </c>
      <c r="D354" s="41" t="str">
        <f>IF(C354="","",Input!G20)</f>
        <v/>
      </c>
      <c r="E354" s="41" t="str">
        <f t="shared" si="34"/>
        <v/>
      </c>
      <c r="F354" s="99" t="str">
        <f t="shared" si="37"/>
        <v/>
      </c>
      <c r="G354" s="67" t="str">
        <f t="shared" si="38"/>
        <v/>
      </c>
    </row>
    <row r="355" spans="2:7" ht="15.75" x14ac:dyDescent="0.25">
      <c r="B355" s="80">
        <v>11</v>
      </c>
      <c r="C355" s="64" t="str">
        <f>IF(one.analysis,"",IF(one.refer,IF(Input!E21="","",Input!E21),""))</f>
        <v/>
      </c>
      <c r="D355" s="41" t="str">
        <f>IF(C355="","",Input!G21)</f>
        <v/>
      </c>
      <c r="E355" s="41" t="str">
        <f t="shared" si="34"/>
        <v/>
      </c>
      <c r="F355" s="99" t="str">
        <f t="shared" si="37"/>
        <v/>
      </c>
      <c r="G355" s="67" t="str">
        <f t="shared" si="38"/>
        <v/>
      </c>
    </row>
    <row r="356" spans="2:7" ht="15.75" x14ac:dyDescent="0.25">
      <c r="B356" s="80">
        <v>12</v>
      </c>
      <c r="C356" s="64" t="str">
        <f>IF(one.analysis,"",IF(one.refer,IF(Input!E22="","",Input!E22),""))</f>
        <v/>
      </c>
      <c r="D356" s="41" t="str">
        <f>IF(C356="","",Input!G22)</f>
        <v/>
      </c>
      <c r="E356" s="41" t="str">
        <f t="shared" si="34"/>
        <v/>
      </c>
      <c r="F356" s="99" t="str">
        <f t="shared" si="37"/>
        <v/>
      </c>
      <c r="G356" s="67" t="str">
        <f t="shared" si="38"/>
        <v/>
      </c>
    </row>
    <row r="357" spans="2:7" ht="15.75" x14ac:dyDescent="0.25">
      <c r="B357" s="80">
        <v>13</v>
      </c>
      <c r="C357" s="64" t="str">
        <f>IF(one.analysis,"",IF(one.refer,IF(Input!E23="","",Input!E23),""))</f>
        <v/>
      </c>
      <c r="D357" s="41" t="str">
        <f>IF(C357="","",Input!G23)</f>
        <v/>
      </c>
      <c r="E357" s="41" t="str">
        <f t="shared" si="34"/>
        <v/>
      </c>
      <c r="F357" s="99" t="str">
        <f t="shared" si="37"/>
        <v/>
      </c>
      <c r="G357" s="67" t="str">
        <f t="shared" si="38"/>
        <v/>
      </c>
    </row>
    <row r="358" spans="2:7" ht="15.75" x14ac:dyDescent="0.25">
      <c r="B358" s="80">
        <v>14</v>
      </c>
      <c r="C358" s="64" t="str">
        <f>IF(one.analysis,"",IF(one.refer,IF(Input!E24="","",Input!E24),""))</f>
        <v/>
      </c>
      <c r="D358" s="41" t="str">
        <f>IF(C358="","",Input!G24)</f>
        <v/>
      </c>
      <c r="E358" s="41" t="str">
        <f t="shared" si="34"/>
        <v/>
      </c>
      <c r="F358" s="99" t="str">
        <f t="shared" si="37"/>
        <v/>
      </c>
      <c r="G358" s="67" t="str">
        <f t="shared" si="38"/>
        <v/>
      </c>
    </row>
    <row r="359" spans="2:7" ht="15.75" x14ac:dyDescent="0.25">
      <c r="B359" s="80">
        <v>15</v>
      </c>
      <c r="C359" s="64" t="str">
        <f>IF(one.analysis,"",IF(one.refer,IF(Input!E25="","",Input!E25),""))</f>
        <v/>
      </c>
      <c r="D359" s="41" t="str">
        <f>IF(C359="","",Input!G25)</f>
        <v/>
      </c>
      <c r="E359" s="41" t="str">
        <f t="shared" si="34"/>
        <v/>
      </c>
      <c r="F359" s="99" t="str">
        <f t="shared" si="37"/>
        <v/>
      </c>
      <c r="G359" s="67" t="str">
        <f t="shared" si="38"/>
        <v/>
      </c>
    </row>
    <row r="360" spans="2:7" ht="15.75" x14ac:dyDescent="0.25">
      <c r="B360" s="80">
        <v>16</v>
      </c>
      <c r="C360" s="64" t="str">
        <f>IF(one.analysis,"",IF(one.refer,IF(Input!E26="","",Input!E26),""))</f>
        <v/>
      </c>
      <c r="D360" s="41" t="str">
        <f>IF(C360="","",Input!G26)</f>
        <v/>
      </c>
      <c r="E360" s="41" t="str">
        <f t="shared" si="34"/>
        <v/>
      </c>
      <c r="F360" s="99" t="str">
        <f t="shared" si="37"/>
        <v/>
      </c>
      <c r="G360" s="67" t="str">
        <f t="shared" si="38"/>
        <v/>
      </c>
    </row>
    <row r="361" spans="2:7" ht="15.75" x14ac:dyDescent="0.25">
      <c r="B361" s="80">
        <v>17</v>
      </c>
      <c r="C361" s="64" t="str">
        <f>IF(one.analysis,"",IF(one.refer,IF(Input!E27="","",Input!E27),""))</f>
        <v/>
      </c>
      <c r="D361" s="41" t="str">
        <f>IF(C361="","",Input!G27)</f>
        <v/>
      </c>
      <c r="E361" s="41" t="str">
        <f t="shared" si="34"/>
        <v/>
      </c>
      <c r="F361" s="99" t="str">
        <f t="shared" si="37"/>
        <v/>
      </c>
      <c r="G361" s="67" t="str">
        <f t="shared" si="38"/>
        <v/>
      </c>
    </row>
    <row r="362" spans="2:7" ht="15.75" x14ac:dyDescent="0.25">
      <c r="B362" s="80">
        <v>18</v>
      </c>
      <c r="C362" s="64" t="str">
        <f>IF(one.analysis,"",IF(one.refer,IF(Input!E28="","",Input!E28),""))</f>
        <v/>
      </c>
      <c r="D362" s="41" t="str">
        <f>IF(C362="","",Input!G28)</f>
        <v/>
      </c>
      <c r="E362" s="41" t="str">
        <f t="shared" si="34"/>
        <v/>
      </c>
      <c r="F362" s="99" t="str">
        <f t="shared" si="37"/>
        <v/>
      </c>
      <c r="G362" s="67" t="str">
        <f t="shared" si="38"/>
        <v/>
      </c>
    </row>
    <row r="363" spans="2:7" ht="15.75" x14ac:dyDescent="0.25">
      <c r="B363" s="80">
        <v>19</v>
      </c>
      <c r="C363" s="64" t="str">
        <f>IF(one.analysis,"",IF(one.refer,IF(Input!E29="","",Input!E29),""))</f>
        <v/>
      </c>
      <c r="D363" s="41" t="str">
        <f>IF(C363="","",Input!G29)</f>
        <v/>
      </c>
      <c r="E363" s="41" t="str">
        <f t="shared" si="34"/>
        <v/>
      </c>
      <c r="F363" s="99" t="str">
        <f t="shared" si="37"/>
        <v/>
      </c>
      <c r="G363" s="67" t="str">
        <f t="shared" si="38"/>
        <v/>
      </c>
    </row>
    <row r="364" spans="2:7" ht="15.75" x14ac:dyDescent="0.25">
      <c r="B364" s="80">
        <v>20</v>
      </c>
      <c r="C364" s="64" t="str">
        <f>IF(one.analysis,"",IF(one.refer,IF(Input!E30="","",Input!E30),""))</f>
        <v/>
      </c>
      <c r="D364" s="41" t="str">
        <f>IF(C364="","",Input!G30)</f>
        <v/>
      </c>
      <c r="E364" s="41" t="str">
        <f t="shared" si="34"/>
        <v/>
      </c>
      <c r="F364" s="99" t="str">
        <f t="shared" si="37"/>
        <v/>
      </c>
      <c r="G364" s="67" t="str">
        <f t="shared" si="38"/>
        <v/>
      </c>
    </row>
    <row r="365" spans="2:7" ht="15.75" x14ac:dyDescent="0.25">
      <c r="B365" s="80">
        <v>21</v>
      </c>
      <c r="C365" s="64" t="str">
        <f>IF(one.analysis,"",IF(one.refer,IF(Input!E31="","",Input!E31),""))</f>
        <v/>
      </c>
      <c r="D365" s="41" t="str">
        <f>IF(C365="","",Input!G31)</f>
        <v/>
      </c>
      <c r="E365" s="41" t="str">
        <f t="shared" si="34"/>
        <v/>
      </c>
      <c r="F365" s="99" t="str">
        <f t="shared" si="37"/>
        <v/>
      </c>
      <c r="G365" s="67" t="str">
        <f t="shared" si="38"/>
        <v/>
      </c>
    </row>
    <row r="366" spans="2:7" ht="15.75" x14ac:dyDescent="0.25">
      <c r="B366" s="80">
        <v>22</v>
      </c>
      <c r="C366" s="64" t="str">
        <f>IF(one.analysis,"",IF(one.refer,IF(Input!E32="","",Input!E32),""))</f>
        <v/>
      </c>
      <c r="D366" s="41" t="str">
        <f>IF(C366="","",Input!G32)</f>
        <v/>
      </c>
      <c r="E366" s="41" t="str">
        <f t="shared" si="34"/>
        <v/>
      </c>
      <c r="F366" s="99" t="str">
        <f t="shared" si="37"/>
        <v/>
      </c>
      <c r="G366" s="67" t="str">
        <f t="shared" si="38"/>
        <v/>
      </c>
    </row>
    <row r="367" spans="2:7" ht="15.75" x14ac:dyDescent="0.25">
      <c r="B367" s="80">
        <v>23</v>
      </c>
      <c r="C367" s="64" t="str">
        <f>IF(one.analysis,"",IF(one.refer,IF(Input!E33="","",Input!E33),""))</f>
        <v/>
      </c>
      <c r="D367" s="41" t="str">
        <f>IF(C367="","",Input!G33)</f>
        <v/>
      </c>
      <c r="E367" s="41" t="str">
        <f t="shared" si="34"/>
        <v/>
      </c>
      <c r="F367" s="99" t="str">
        <f t="shared" si="37"/>
        <v/>
      </c>
      <c r="G367" s="67" t="str">
        <f t="shared" si="38"/>
        <v/>
      </c>
    </row>
    <row r="368" spans="2:7" ht="15.75" x14ac:dyDescent="0.25">
      <c r="B368" s="80">
        <v>24</v>
      </c>
      <c r="C368" s="64" t="str">
        <f>IF(one.analysis,"",IF(one.refer,IF(Input!E34="","",Input!E34),""))</f>
        <v/>
      </c>
      <c r="D368" s="41" t="str">
        <f>IF(C368="","",Input!G34)</f>
        <v/>
      </c>
      <c r="E368" s="41" t="str">
        <f t="shared" si="34"/>
        <v/>
      </c>
      <c r="F368" s="99" t="str">
        <f t="shared" si="37"/>
        <v/>
      </c>
      <c r="G368" s="67" t="str">
        <f t="shared" si="38"/>
        <v/>
      </c>
    </row>
    <row r="369" spans="2:7" ht="15.75" x14ac:dyDescent="0.25">
      <c r="B369" s="80">
        <v>25</v>
      </c>
      <c r="C369" s="64" t="str">
        <f>IF(one.analysis,"",IF(one.refer,IF(Input!E35="","",Input!E35),""))</f>
        <v/>
      </c>
      <c r="D369" s="41" t="str">
        <f>IF(C369="","",Input!G35)</f>
        <v/>
      </c>
      <c r="E369" s="41" t="str">
        <f t="shared" si="34"/>
        <v/>
      </c>
      <c r="F369" s="99" t="str">
        <f t="shared" si="37"/>
        <v/>
      </c>
      <c r="G369" s="67" t="str">
        <f t="shared" si="38"/>
        <v/>
      </c>
    </row>
    <row r="370" spans="2:7" ht="16.5" thickBot="1" x14ac:dyDescent="0.3">
      <c r="B370" s="84" t="s">
        <v>23</v>
      </c>
      <c r="C370" s="85" t="s">
        <v>24</v>
      </c>
      <c r="D370" s="86" t="str">
        <f>IF(C345="","",SUM(D345:D369))</f>
        <v/>
      </c>
      <c r="E370" s="86" t="str">
        <f>IF(D370="","",SUM(E345:E369))</f>
        <v/>
      </c>
      <c r="F370" s="86" t="str">
        <f>IF(D370="","",SUM(F345:F369))</f>
        <v/>
      </c>
      <c r="G370" s="117" t="str">
        <f t="shared" si="38"/>
        <v/>
      </c>
    </row>
    <row r="373" spans="2:7" x14ac:dyDescent="0.25">
      <c r="C373" s="44" t="str">
        <f>IF(C345="","","x{1}^"&amp;target&amp;" =")</f>
        <v/>
      </c>
      <c r="D373" t="str">
        <f>IF(C345="","","x{1}^"&amp;launch&amp;" + "&amp;delta&amp;"x{1}^{"&amp;launch&amp;","&amp;target&amp;"}")</f>
        <v/>
      </c>
    </row>
    <row r="374" spans="2:7" x14ac:dyDescent="0.25">
      <c r="C374" s="103" t="str">
        <f>IF(C345="","","= ")</f>
        <v/>
      </c>
      <c r="D374" s="73" t="str">
        <f>IF($C$345="","",TEXT($D$345,"#,###")&amp;" + "&amp;TEXT($E$345,"#,###"))</f>
        <v/>
      </c>
    </row>
    <row r="375" spans="2:7" x14ac:dyDescent="0.25">
      <c r="C375" s="103" t="str">
        <f>IF(C345="","","= ")</f>
        <v/>
      </c>
      <c r="D375" s="73" t="str">
        <f>IF($C$345="","",$D$345+$E$345)</f>
        <v/>
      </c>
    </row>
  </sheetData>
  <sheetProtection password="DF21" sheet="1" formatCells="0" formatColumns="0" formatRows="0"/>
  <pageMargins left="0.7" right="0.7" top="0.75" bottom="0.75" header="0.3" footer="0.3"/>
  <pageSetup scale="10" orientation="landscape" r:id="rId1"/>
  <ignoredErrors>
    <ignoredError sqref="E265"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DEEAF-8A1C-4F44-AEDB-2004466F1F1D}">
  <dimension ref="B1:L44"/>
  <sheetViews>
    <sheetView workbookViewId="0"/>
  </sheetViews>
  <sheetFormatPr defaultRowHeight="15" x14ac:dyDescent="0.25"/>
  <cols>
    <col min="1" max="1" width="9.140625" style="154"/>
    <col min="2" max="2" width="16.7109375" style="154" customWidth="1"/>
    <col min="3" max="3" width="16.28515625" style="154" customWidth="1"/>
    <col min="4" max="4" width="17.28515625" style="154" customWidth="1"/>
    <col min="5" max="5" width="16.28515625" style="154" customWidth="1"/>
    <col min="6" max="6" width="17" style="154" customWidth="1"/>
    <col min="7" max="7" width="17.42578125" style="154" customWidth="1"/>
    <col min="8" max="8" width="17.140625" style="154" customWidth="1"/>
    <col min="9" max="9" width="17" style="154" customWidth="1"/>
    <col min="10" max="10" width="16.7109375" style="154" customWidth="1"/>
    <col min="11" max="11" width="16.5703125" style="154" customWidth="1"/>
    <col min="12" max="12" width="15.85546875" style="154" customWidth="1"/>
    <col min="13" max="16384" width="9.140625" style="154"/>
  </cols>
  <sheetData>
    <row r="1" spans="2:12" x14ac:dyDescent="0.25">
      <c r="B1" s="156" t="str">
        <f>IF(one.analysis,label,"")</f>
        <v>Share  Projections: Decatur  Population, 2040</v>
      </c>
      <c r="C1" s="156"/>
      <c r="D1" s="156"/>
      <c r="E1" s="156"/>
      <c r="F1" s="156"/>
      <c r="G1" s="156"/>
      <c r="H1" s="156"/>
    </row>
    <row r="2" spans="2:12" ht="15.75" thickBot="1" x14ac:dyDescent="0.3">
      <c r="B2"/>
      <c r="C2"/>
      <c r="D2"/>
      <c r="E2"/>
      <c r="F2"/>
      <c r="G2"/>
      <c r="H2"/>
    </row>
    <row r="3" spans="2:12" x14ac:dyDescent="0.25">
      <c r="B3" s="15" t="str">
        <f>IF(one.analysis,"Projection","")</f>
        <v>Projection</v>
      </c>
      <c r="C3" s="17" t="str">
        <f>IF(one.analysis,refer.area&amp;" "&amp;variable,"")</f>
        <v>DeKalb County Population</v>
      </c>
      <c r="D3" s="18"/>
      <c r="E3" s="74" t="str">
        <f>IF(one.analysis,"Growth","")</f>
        <v>Growth</v>
      </c>
      <c r="F3" s="17" t="str">
        <f>IF(one.analysis,study.area&amp;" "&amp;variable,"")</f>
        <v>Decatur  Population</v>
      </c>
      <c r="G3" s="18"/>
      <c r="H3" s="157" t="str">
        <f>IF(one.analysis,"Growth","")</f>
        <v>Growth</v>
      </c>
    </row>
    <row r="4" spans="2:12" x14ac:dyDescent="0.25">
      <c r="B4" s="22"/>
      <c r="C4" s="23" t="str">
        <f>IF(one.analysis,launch,"")</f>
        <v>2010</v>
      </c>
      <c r="D4" s="23" t="str">
        <f>IF(one.analysis,target,"")</f>
        <v>2040</v>
      </c>
      <c r="E4" s="75" t="str">
        <f>IF(one.analysis,"Rate","")</f>
        <v>Rate</v>
      </c>
      <c r="F4" s="23" t="str">
        <f>IF(one.analysis,launch,"")</f>
        <v>2010</v>
      </c>
      <c r="G4" s="23" t="str">
        <f>IF(one.analysis,target,"")</f>
        <v>2040</v>
      </c>
      <c r="H4" s="158" t="str">
        <f>IF(one.analysis,"Rate","")</f>
        <v>Rate</v>
      </c>
    </row>
    <row r="5" spans="2:12" x14ac:dyDescent="0.25">
      <c r="B5" s="159" t="s">
        <v>0</v>
      </c>
      <c r="C5" s="31" t="s">
        <v>1</v>
      </c>
      <c r="D5" s="31" t="s">
        <v>2</v>
      </c>
      <c r="E5" s="31" t="s">
        <v>3</v>
      </c>
      <c r="F5" s="31" t="s">
        <v>4</v>
      </c>
      <c r="G5" s="31" t="s">
        <v>5</v>
      </c>
      <c r="H5" s="160" t="s">
        <v>6</v>
      </c>
    </row>
    <row r="6" spans="2:12" x14ac:dyDescent="0.25">
      <c r="B6" s="161" t="str">
        <f>IF(one.analysis,"Constant-Share","")</f>
        <v>Constant-Share</v>
      </c>
      <c r="C6" s="37">
        <f>IF(one.analysis,X.launch,"")</f>
        <v>691893</v>
      </c>
      <c r="D6" s="37">
        <f>IF(one.analysis,X.target,"")</f>
        <v>881851</v>
      </c>
      <c r="E6" s="162">
        <f>IF(one.analysis,(D6-C6)/C6,"")</f>
        <v>0.27454823216884694</v>
      </c>
      <c r="F6" s="163">
        <f>IF(one.analysis,x1.launch,"")</f>
        <v>19335</v>
      </c>
      <c r="G6" s="37">
        <f>IF(one.analysis,Computations!F43,"")</f>
        <v>24603.642900000003</v>
      </c>
      <c r="H6" s="164">
        <f>IF(one.analysis,(G6-F6)/F6,"")</f>
        <v>0.27249252133436785</v>
      </c>
    </row>
    <row r="7" spans="2:12" x14ac:dyDescent="0.25">
      <c r="B7" s="22" t="str">
        <f>IF(one.analysis,"Shift-Share","")</f>
        <v>Shift-Share</v>
      </c>
      <c r="C7" s="41">
        <f>IF(one.analysis,X.launch,"")</f>
        <v>691893</v>
      </c>
      <c r="D7" s="41">
        <f>IF(one.analysis,X.target,"")</f>
        <v>881851</v>
      </c>
      <c r="E7" s="165">
        <f>IF(one.analysis,(D7-C7)/C7,"")</f>
        <v>0.27454823216884694</v>
      </c>
      <c r="F7" s="166">
        <f>IF(one.analysis,x1.launch,"")</f>
        <v>19335</v>
      </c>
      <c r="G7" s="41">
        <f>IF(one.analysis,Computations!G130,"")</f>
        <v>26191</v>
      </c>
      <c r="H7" s="109">
        <f>IF(one.analysis,(G7-F7)/F7,"")</f>
        <v>0.35459012154124642</v>
      </c>
    </row>
    <row r="8" spans="2:12" x14ac:dyDescent="0.25">
      <c r="B8" s="22" t="str">
        <f>IF(one.analysis,"Share-of-Change","")</f>
        <v>Share-of-Change</v>
      </c>
      <c r="C8" s="41">
        <f>IF(one.analysis,X.launch,"")</f>
        <v>691893</v>
      </c>
      <c r="D8" s="41">
        <f>IF(one.analysis,X.target,"")</f>
        <v>881851</v>
      </c>
      <c r="E8" s="165">
        <f>IF(one.analysis,(D8-C8)/C8,"")</f>
        <v>0.27454823216884694</v>
      </c>
      <c r="F8" s="166">
        <f>IF(one.analysis,x1.launch,"")</f>
        <v>19335</v>
      </c>
      <c r="G8" s="41">
        <f>IF(one.analysis,Computations!G266,"")</f>
        <v>27997.084800000001</v>
      </c>
      <c r="H8" s="109">
        <f>IF(one.analysis,(G8-F8)/F8,"")</f>
        <v>0.44800024825446083</v>
      </c>
    </row>
    <row r="9" spans="2:12" x14ac:dyDescent="0.25">
      <c r="B9" s="22" t="str">
        <f>IF(one.analysis,"Share-Trend","")</f>
        <v>Share-Trend</v>
      </c>
      <c r="C9" s="41">
        <f>IF(one.analysis,X.launch,"")</f>
        <v>691893</v>
      </c>
      <c r="D9" s="41">
        <f>IF(one.analysis,X.target,"")</f>
        <v>881851</v>
      </c>
      <c r="E9" s="165">
        <f>IF(one.analysis,(D9-C9)/C9,"")</f>
        <v>0.27454823216884694</v>
      </c>
      <c r="F9" s="166">
        <f>IF(one.analysis,x1.launch,"")</f>
        <v>19335</v>
      </c>
      <c r="G9" s="41">
        <f>IF(AND(s.trend&lt;&gt;0,one.analysis),Computations!D280,"")</f>
        <v>20194.387900000002</v>
      </c>
      <c r="H9" s="109">
        <f>IF(one.analysis,(G9-F9)/F9,"")</f>
        <v>4.4447266614947065E-2</v>
      </c>
    </row>
    <row r="10" spans="2:12" ht="15.75" thickBot="1" x14ac:dyDescent="0.3">
      <c r="B10" s="167" t="str">
        <f>IF(one.analysis,"Average","")</f>
        <v>Average</v>
      </c>
      <c r="C10" s="86">
        <f t="shared" ref="C10:H10" si="0">IF(one.analysis,AVERAGE(C6:C9),"")</f>
        <v>691893</v>
      </c>
      <c r="D10" s="86">
        <f t="shared" si="0"/>
        <v>881851</v>
      </c>
      <c r="E10" s="168">
        <f t="shared" si="0"/>
        <v>0.27454823216884694</v>
      </c>
      <c r="F10" s="86">
        <f t="shared" si="0"/>
        <v>19335</v>
      </c>
      <c r="G10" s="86">
        <f t="shared" si="0"/>
        <v>24746.528900000001</v>
      </c>
      <c r="H10" s="110">
        <f t="shared" si="0"/>
        <v>0.27988253943625557</v>
      </c>
    </row>
    <row r="14" spans="2:12" x14ac:dyDescent="0.25">
      <c r="B14" s="156" t="str">
        <f>IF(one.analysis,"",label)</f>
        <v/>
      </c>
      <c r="C14" s="156"/>
      <c r="D14" s="156"/>
      <c r="E14" s="156"/>
      <c r="F14" s="156"/>
      <c r="G14" s="156"/>
      <c r="H14" s="156"/>
      <c r="I14" s="156"/>
      <c r="J14" s="156"/>
      <c r="K14" s="156"/>
      <c r="L14" s="153"/>
    </row>
    <row r="15" spans="2:12" ht="15.75" thickBot="1" x14ac:dyDescent="0.3">
      <c r="B15"/>
      <c r="C15"/>
      <c r="D15"/>
      <c r="E15"/>
      <c r="F15"/>
      <c r="G15"/>
      <c r="H15"/>
      <c r="I15"/>
      <c r="J15"/>
      <c r="K15"/>
    </row>
    <row r="16" spans="2:12" ht="15.75" x14ac:dyDescent="0.25">
      <c r="B16" s="169" t="str">
        <f>IF(one.analysis,"",study.label)</f>
        <v/>
      </c>
      <c r="C16" s="170" t="str">
        <f>IF(one.analysis,"",launch&amp;" "&amp;variable)</f>
        <v/>
      </c>
      <c r="D16" s="130" t="s">
        <v>107</v>
      </c>
      <c r="E16" s="18"/>
      <c r="F16" s="130" t="s">
        <v>58</v>
      </c>
      <c r="G16" s="18"/>
      <c r="H16" s="130" t="s">
        <v>59</v>
      </c>
      <c r="I16" s="18"/>
      <c r="J16" s="130" t="str">
        <f>IF(one.refer,"Adjusted-Share-of-Change","Share-Trend")</f>
        <v>Adjusted-Share-of-Change</v>
      </c>
      <c r="K16" s="131"/>
    </row>
    <row r="17" spans="2:12" ht="15.75" x14ac:dyDescent="0.25">
      <c r="B17" s="22"/>
      <c r="C17" s="171"/>
      <c r="D17" s="75" t="str">
        <f>IF(one.analysis,"",target&amp;" "&amp;variable)</f>
        <v/>
      </c>
      <c r="E17" s="23" t="str">
        <f>IF(one.analysis,"","Growth Rate")</f>
        <v/>
      </c>
      <c r="F17" s="75" t="str">
        <f>IF(one.analysis,"",target&amp;" "&amp;variable)</f>
        <v/>
      </c>
      <c r="G17" s="172" t="str">
        <f>IF(one.analysis,"","Growth Rate")</f>
        <v/>
      </c>
      <c r="H17" s="75" t="str">
        <f>IF(one.analysis,"",target&amp;" "&amp;variable)</f>
        <v/>
      </c>
      <c r="I17" s="172" t="str">
        <f>IF(one.analysis,"","Growth Rate")</f>
        <v/>
      </c>
      <c r="J17" s="75" t="str">
        <f>IF(one.analysis,"",target&amp;" "&amp;variable)</f>
        <v/>
      </c>
      <c r="K17" s="57" t="str">
        <f>IF(one.analysis,"","Growth Rate")</f>
        <v/>
      </c>
    </row>
    <row r="18" spans="2:12" ht="15.75" x14ac:dyDescent="0.25">
      <c r="B18" s="59" t="s">
        <v>0</v>
      </c>
      <c r="C18" s="60" t="s">
        <v>1</v>
      </c>
      <c r="D18" s="60" t="s">
        <v>2</v>
      </c>
      <c r="E18" s="61" t="s">
        <v>3</v>
      </c>
      <c r="F18" s="61" t="s">
        <v>4</v>
      </c>
      <c r="G18" s="61" t="s">
        <v>5</v>
      </c>
      <c r="H18" s="61" t="s">
        <v>6</v>
      </c>
      <c r="I18" s="61" t="s">
        <v>60</v>
      </c>
      <c r="J18" s="61" t="s">
        <v>61</v>
      </c>
      <c r="K18" s="62" t="s">
        <v>62</v>
      </c>
      <c r="L18" s="155"/>
    </row>
    <row r="19" spans="2:12" ht="15.75" x14ac:dyDescent="0.25">
      <c r="B19" s="173" t="str">
        <f>IF(one.analysis,"",Computations!C43)</f>
        <v/>
      </c>
      <c r="C19" s="65" t="str">
        <f>IF(one.analysis,"",Computations!D43)</f>
        <v/>
      </c>
      <c r="D19" s="65" t="str">
        <f>IF(one.analysis,"",Computations!F43)</f>
        <v/>
      </c>
      <c r="E19" s="174" t="str">
        <f>IF(one.analysis,"",Computations!G43)</f>
        <v/>
      </c>
      <c r="F19" s="99" t="str">
        <f>IF(one.analysis,"",Computations!G130)</f>
        <v/>
      </c>
      <c r="G19" s="175" t="str">
        <f>IF(one.analysis,"",Computations!H130)</f>
        <v/>
      </c>
      <c r="H19" s="37" t="str">
        <f>IF(one.analysis,"",IF(one.refer,Computations!G210,Computations!Q210))</f>
        <v/>
      </c>
      <c r="I19" s="162" t="str">
        <f>IF(one.analysis,"",IF(one.refer,Computations!H210,Computations!R210))</f>
        <v/>
      </c>
      <c r="J19" s="37" t="str">
        <f>IF(one.analysis,"",IF(one.refer,Computations!F345,Computations!N280))</f>
        <v/>
      </c>
      <c r="K19" s="164" t="str">
        <f>IF(one.analysis,"",IF(one.refer,Computations!G345,Computations!O280))</f>
        <v/>
      </c>
    </row>
    <row r="20" spans="2:12" ht="15.75" x14ac:dyDescent="0.25">
      <c r="B20" s="173" t="str">
        <f>IF(one.analysis,"",Computations!C44)</f>
        <v/>
      </c>
      <c r="C20" s="65" t="str">
        <f>IF(one.analysis,"",Computations!D44)</f>
        <v/>
      </c>
      <c r="D20" s="65" t="str">
        <f>IF(one.analysis,"",Computations!F44)</f>
        <v/>
      </c>
      <c r="E20" s="174" t="str">
        <f>IF(one.analysis,"",Computations!G44)</f>
        <v/>
      </c>
      <c r="F20" s="99" t="str">
        <f>IF(one.analysis,"",Computations!G131)</f>
        <v/>
      </c>
      <c r="G20" s="175" t="str">
        <f>IF(one.analysis,"",Computations!H131)</f>
        <v/>
      </c>
      <c r="H20" s="41" t="str">
        <f>IF(one.analysis,"",IF(one.refer,Computations!G211,Computations!Q211))</f>
        <v/>
      </c>
      <c r="I20" s="165" t="str">
        <f>IF(one.analysis,"",IF(one.refer,Computations!H211,Computations!R211))</f>
        <v/>
      </c>
      <c r="J20" s="41" t="str">
        <f>IF(one.analysis,"",IF(one.refer,Computations!F346,Computations!N281))</f>
        <v/>
      </c>
      <c r="K20" s="109" t="str">
        <f>IF(one.analysis,"",IF(one.refer,Computations!G346,Computations!O281))</f>
        <v/>
      </c>
    </row>
    <row r="21" spans="2:12" ht="15.75" x14ac:dyDescent="0.25">
      <c r="B21" s="173" t="str">
        <f>IF(one.analysis,"",Computations!C45)</f>
        <v/>
      </c>
      <c r="C21" s="65" t="str">
        <f>IF(one.analysis,"",Computations!D45)</f>
        <v/>
      </c>
      <c r="D21" s="65" t="str">
        <f>IF(one.analysis,"",Computations!F45)</f>
        <v/>
      </c>
      <c r="E21" s="174" t="str">
        <f>IF(one.analysis,"",Computations!G45)</f>
        <v/>
      </c>
      <c r="F21" s="99" t="str">
        <f>IF(one.analysis,"",Computations!G132)</f>
        <v/>
      </c>
      <c r="G21" s="175" t="str">
        <f>IF(one.analysis,"",Computations!H132)</f>
        <v/>
      </c>
      <c r="H21" s="41" t="str">
        <f>IF(one.analysis,"",IF(one.refer,Computations!G212,Computations!Q212))</f>
        <v/>
      </c>
      <c r="I21" s="165" t="str">
        <f>IF(one.analysis,"",IF(one.refer,Computations!H212,Computations!R212))</f>
        <v/>
      </c>
      <c r="J21" s="41" t="str">
        <f>IF(one.analysis,"",IF(one.refer,Computations!F347,Computations!N282))</f>
        <v/>
      </c>
      <c r="K21" s="109" t="str">
        <f>IF(one.analysis,"",IF(one.refer,Computations!G347,Computations!O282))</f>
        <v/>
      </c>
    </row>
    <row r="22" spans="2:12" ht="15.75" x14ac:dyDescent="0.25">
      <c r="B22" s="173" t="str">
        <f>IF(one.analysis,"",Computations!C46)</f>
        <v/>
      </c>
      <c r="C22" s="65" t="str">
        <f>IF(one.analysis,"",Computations!D46)</f>
        <v/>
      </c>
      <c r="D22" s="65" t="str">
        <f>IF(one.analysis,"",Computations!F46)</f>
        <v/>
      </c>
      <c r="E22" s="174" t="str">
        <f>IF(one.analysis,"",Computations!G46)</f>
        <v/>
      </c>
      <c r="F22" s="99" t="str">
        <f>IF(one.analysis,"",Computations!G133)</f>
        <v/>
      </c>
      <c r="G22" s="175" t="str">
        <f>IF(one.analysis,"",Computations!H133)</f>
        <v/>
      </c>
      <c r="H22" s="41" t="str">
        <f>IF(one.analysis,"",IF(one.refer,Computations!G213,Computations!Q213))</f>
        <v/>
      </c>
      <c r="I22" s="165" t="str">
        <f>IF(one.analysis,"",IF(one.refer,Computations!H213,Computations!R213))</f>
        <v/>
      </c>
      <c r="J22" s="41" t="str">
        <f>IF(one.analysis,"",IF(one.refer,Computations!F348,Computations!N283))</f>
        <v/>
      </c>
      <c r="K22" s="109" t="str">
        <f>IF(one.analysis,"",IF(one.refer,Computations!G348,Computations!O283))</f>
        <v/>
      </c>
    </row>
    <row r="23" spans="2:12" ht="15.75" x14ac:dyDescent="0.25">
      <c r="B23" s="173" t="str">
        <f>IF(one.analysis,"",Computations!C47)</f>
        <v/>
      </c>
      <c r="C23" s="65" t="str">
        <f>IF(one.analysis,"",Computations!D47)</f>
        <v/>
      </c>
      <c r="D23" s="65" t="str">
        <f>IF(one.analysis,"",Computations!F47)</f>
        <v/>
      </c>
      <c r="E23" s="174" t="str">
        <f>IF(one.analysis,"",Computations!G47)</f>
        <v/>
      </c>
      <c r="F23" s="99" t="str">
        <f>IF(one.analysis,"",Computations!G134)</f>
        <v/>
      </c>
      <c r="G23" s="175" t="str">
        <f>IF(one.analysis,"",Computations!H134)</f>
        <v/>
      </c>
      <c r="H23" s="41" t="str">
        <f>IF(one.analysis,"",IF(one.refer,Computations!G214,Computations!Q214))</f>
        <v/>
      </c>
      <c r="I23" s="165" t="str">
        <f>IF(one.analysis,"",IF(one.refer,Computations!H214,Computations!R214))</f>
        <v/>
      </c>
      <c r="J23" s="41" t="str">
        <f>IF(one.analysis,"",IF(one.refer,Computations!F349,Computations!N284))</f>
        <v/>
      </c>
      <c r="K23" s="109" t="str">
        <f>IF(one.analysis,"",IF(one.refer,Computations!G349,Computations!O284))</f>
        <v/>
      </c>
    </row>
    <row r="24" spans="2:12" ht="15.75" x14ac:dyDescent="0.25">
      <c r="B24" s="173" t="str">
        <f>IF(one.analysis,"",Computations!C48)</f>
        <v/>
      </c>
      <c r="C24" s="65" t="str">
        <f>IF(one.analysis,"",Computations!D48)</f>
        <v/>
      </c>
      <c r="D24" s="65" t="str">
        <f>IF(one.analysis,"",Computations!F48)</f>
        <v/>
      </c>
      <c r="E24" s="174" t="str">
        <f>IF(one.analysis,"",Computations!G48)</f>
        <v/>
      </c>
      <c r="F24" s="99" t="str">
        <f>IF(one.analysis,"",Computations!G135)</f>
        <v/>
      </c>
      <c r="G24" s="175" t="str">
        <f>IF(one.analysis,"",Computations!H135)</f>
        <v/>
      </c>
      <c r="H24" s="41" t="str">
        <f>IF(one.analysis,"",IF(one.refer,Computations!G215,Computations!Q215))</f>
        <v/>
      </c>
      <c r="I24" s="165" t="str">
        <f>IF(one.analysis,"",IF(one.refer,Computations!H215,Computations!R215))</f>
        <v/>
      </c>
      <c r="J24" s="41" t="str">
        <f>IF(one.analysis,"",IF(one.refer,Computations!F350,Computations!N285))</f>
        <v/>
      </c>
      <c r="K24" s="109" t="str">
        <f>IF(one.analysis,"",IF(one.refer,Computations!G350,Computations!O285))</f>
        <v/>
      </c>
    </row>
    <row r="25" spans="2:12" ht="15.75" x14ac:dyDescent="0.25">
      <c r="B25" s="173" t="str">
        <f>IF(one.analysis,"",Computations!C49)</f>
        <v/>
      </c>
      <c r="C25" s="65" t="str">
        <f>IF(one.analysis,"",Computations!D49)</f>
        <v/>
      </c>
      <c r="D25" s="65" t="str">
        <f>IF(one.analysis,"",Computations!F49)</f>
        <v/>
      </c>
      <c r="E25" s="174" t="str">
        <f>IF(one.analysis,"",Computations!G49)</f>
        <v/>
      </c>
      <c r="F25" s="99" t="str">
        <f>IF(one.analysis,"",Computations!G136)</f>
        <v/>
      </c>
      <c r="G25" s="175" t="str">
        <f>IF(one.analysis,"",Computations!H136)</f>
        <v/>
      </c>
      <c r="H25" s="41" t="str">
        <f>IF(one.analysis,"",IF(one.refer,Computations!G216,Computations!Q216))</f>
        <v/>
      </c>
      <c r="I25" s="165" t="str">
        <f>IF(one.analysis,"",IF(one.refer,Computations!H216,Computations!R216))</f>
        <v/>
      </c>
      <c r="J25" s="41" t="str">
        <f>IF(one.analysis,"",IF(one.refer,Computations!F351,Computations!N286))</f>
        <v/>
      </c>
      <c r="K25" s="109" t="str">
        <f>IF(one.analysis,"",IF(one.refer,Computations!G351,Computations!O286))</f>
        <v/>
      </c>
    </row>
    <row r="26" spans="2:12" ht="15.75" x14ac:dyDescent="0.25">
      <c r="B26" s="173" t="str">
        <f>IF(one.analysis,"",Computations!C50)</f>
        <v/>
      </c>
      <c r="C26" s="65" t="str">
        <f>IF(one.analysis,"",Computations!D50)</f>
        <v/>
      </c>
      <c r="D26" s="65" t="str">
        <f>IF(one.analysis,"",Computations!F50)</f>
        <v/>
      </c>
      <c r="E26" s="174" t="str">
        <f>IF(one.analysis,"",Computations!G50)</f>
        <v/>
      </c>
      <c r="F26" s="99" t="str">
        <f>IF(one.analysis,"",Computations!G137)</f>
        <v/>
      </c>
      <c r="G26" s="175" t="str">
        <f>IF(one.analysis,"",Computations!H137)</f>
        <v/>
      </c>
      <c r="H26" s="41" t="str">
        <f>IF(one.analysis,"",IF(one.refer,Computations!G217,Computations!Q217))</f>
        <v/>
      </c>
      <c r="I26" s="165" t="str">
        <f>IF(one.analysis,"",IF(one.refer,Computations!H217,Computations!R217))</f>
        <v/>
      </c>
      <c r="J26" s="41" t="str">
        <f>IF(one.analysis,"",IF(one.refer,Computations!F352,Computations!N287))</f>
        <v/>
      </c>
      <c r="K26" s="109" t="str">
        <f>IF(one.analysis,"",IF(one.refer,Computations!G352,Computations!O287))</f>
        <v/>
      </c>
    </row>
    <row r="27" spans="2:12" ht="15.75" x14ac:dyDescent="0.25">
      <c r="B27" s="173" t="str">
        <f>IF(one.analysis,"",Computations!C51)</f>
        <v/>
      </c>
      <c r="C27" s="65" t="str">
        <f>IF(one.analysis,"",Computations!D51)</f>
        <v/>
      </c>
      <c r="D27" s="65" t="str">
        <f>IF(one.analysis,"",Computations!F51)</f>
        <v/>
      </c>
      <c r="E27" s="174" t="str">
        <f>IF(one.analysis,"",Computations!G51)</f>
        <v/>
      </c>
      <c r="F27" s="99" t="str">
        <f>IF(one.analysis,"",Computations!G138)</f>
        <v/>
      </c>
      <c r="G27" s="175" t="str">
        <f>IF(one.analysis,"",Computations!H138)</f>
        <v/>
      </c>
      <c r="H27" s="41" t="str">
        <f>IF(one.analysis,"",IF(one.refer,Computations!G218,Computations!Q218))</f>
        <v/>
      </c>
      <c r="I27" s="165" t="str">
        <f>IF(one.analysis,"",IF(one.refer,Computations!H218,Computations!R218))</f>
        <v/>
      </c>
      <c r="J27" s="41" t="str">
        <f>IF(one.analysis,"",IF(one.refer,Computations!F353,Computations!N288))</f>
        <v/>
      </c>
      <c r="K27" s="109" t="str">
        <f>IF(one.analysis,"",IF(one.refer,Computations!G353,Computations!O288))</f>
        <v/>
      </c>
    </row>
    <row r="28" spans="2:12" ht="15.75" x14ac:dyDescent="0.25">
      <c r="B28" s="173" t="str">
        <f>IF(one.analysis,"",Computations!C52)</f>
        <v/>
      </c>
      <c r="C28" s="65" t="str">
        <f>IF(one.analysis,"",Computations!D52)</f>
        <v/>
      </c>
      <c r="D28" s="65" t="str">
        <f>IF(one.analysis,"",Computations!F52)</f>
        <v/>
      </c>
      <c r="E28" s="174" t="str">
        <f>IF(one.analysis,"",Computations!G52)</f>
        <v/>
      </c>
      <c r="F28" s="99" t="str">
        <f>IF(one.analysis,"",Computations!G139)</f>
        <v/>
      </c>
      <c r="G28" s="175" t="str">
        <f>IF(one.analysis,"",Computations!H139)</f>
        <v/>
      </c>
      <c r="H28" s="41" t="str">
        <f>IF(one.analysis,"",IF(one.refer,Computations!G219,Computations!Q219))</f>
        <v/>
      </c>
      <c r="I28" s="165" t="str">
        <f>IF(one.analysis,"",IF(one.refer,Computations!H219,Computations!R219))</f>
        <v/>
      </c>
      <c r="J28" s="41" t="str">
        <f>IF(one.analysis,"",IF(one.refer,Computations!F354,Computations!N289))</f>
        <v/>
      </c>
      <c r="K28" s="109" t="str">
        <f>IF(one.analysis,"",IF(one.refer,Computations!G354,Computations!O289))</f>
        <v/>
      </c>
    </row>
    <row r="29" spans="2:12" ht="15.75" x14ac:dyDescent="0.25">
      <c r="B29" s="173" t="str">
        <f>IF(one.analysis,"",Computations!C53)</f>
        <v/>
      </c>
      <c r="C29" s="65" t="str">
        <f>IF(one.analysis,"",Computations!D53)</f>
        <v/>
      </c>
      <c r="D29" s="65" t="str">
        <f>IF(one.analysis,"",Computations!F53)</f>
        <v/>
      </c>
      <c r="E29" s="174" t="str">
        <f>IF(one.analysis,"",Computations!G53)</f>
        <v/>
      </c>
      <c r="F29" s="99" t="str">
        <f>IF(one.analysis,"",Computations!G140)</f>
        <v/>
      </c>
      <c r="G29" s="175" t="str">
        <f>IF(one.analysis,"",Computations!H140)</f>
        <v/>
      </c>
      <c r="H29" s="41" t="str">
        <f>IF(one.analysis,"",IF(one.refer,Computations!G220,Computations!Q220))</f>
        <v/>
      </c>
      <c r="I29" s="165" t="str">
        <f>IF(one.analysis,"",IF(one.refer,Computations!H220,Computations!R220))</f>
        <v/>
      </c>
      <c r="J29" s="41" t="str">
        <f>IF(one.analysis,"",IF(one.refer,Computations!F355,Computations!N290))</f>
        <v/>
      </c>
      <c r="K29" s="109" t="str">
        <f>IF(one.analysis,"",IF(one.refer,Computations!G355,Computations!O290))</f>
        <v/>
      </c>
    </row>
    <row r="30" spans="2:12" ht="15.75" x14ac:dyDescent="0.25">
      <c r="B30" s="173" t="str">
        <f>IF(one.analysis,"",Computations!C54)</f>
        <v/>
      </c>
      <c r="C30" s="65" t="str">
        <f>IF(one.analysis,"",Computations!D54)</f>
        <v/>
      </c>
      <c r="D30" s="65" t="str">
        <f>IF(one.analysis,"",Computations!F54)</f>
        <v/>
      </c>
      <c r="E30" s="174" t="str">
        <f>IF(one.analysis,"",Computations!G54)</f>
        <v/>
      </c>
      <c r="F30" s="99" t="str">
        <f>IF(one.analysis,"",Computations!G141)</f>
        <v/>
      </c>
      <c r="G30" s="175" t="str">
        <f>IF(one.analysis,"",Computations!H141)</f>
        <v/>
      </c>
      <c r="H30" s="41" t="str">
        <f>IF(one.analysis,"",IF(one.refer,Computations!G221,Computations!Q221))</f>
        <v/>
      </c>
      <c r="I30" s="165" t="str">
        <f>IF(one.analysis,"",IF(one.refer,Computations!H221,Computations!R221))</f>
        <v/>
      </c>
      <c r="J30" s="41" t="str">
        <f>IF(one.analysis,"",IF(one.refer,Computations!F356,Computations!N291))</f>
        <v/>
      </c>
      <c r="K30" s="109" t="str">
        <f>IF(one.analysis,"",IF(one.refer,Computations!G356,Computations!O291))</f>
        <v/>
      </c>
    </row>
    <row r="31" spans="2:12" ht="15.75" x14ac:dyDescent="0.25">
      <c r="B31" s="173" t="str">
        <f>IF(one.analysis,"",Computations!C55)</f>
        <v/>
      </c>
      <c r="C31" s="65" t="str">
        <f>IF(one.analysis,"",Computations!D55)</f>
        <v/>
      </c>
      <c r="D31" s="65" t="str">
        <f>IF(one.analysis,"",Computations!F55)</f>
        <v/>
      </c>
      <c r="E31" s="174" t="str">
        <f>IF(one.analysis,"",Computations!G55)</f>
        <v/>
      </c>
      <c r="F31" s="99" t="str">
        <f>IF(one.analysis,"",Computations!G142)</f>
        <v/>
      </c>
      <c r="G31" s="175" t="str">
        <f>IF(one.analysis,"",Computations!H142)</f>
        <v/>
      </c>
      <c r="H31" s="41" t="str">
        <f>IF(one.analysis,"",IF(one.refer,Computations!G222,Computations!Q222))</f>
        <v/>
      </c>
      <c r="I31" s="165" t="str">
        <f>IF(one.analysis,"",IF(one.refer,Computations!H222,Computations!R222))</f>
        <v/>
      </c>
      <c r="J31" s="41" t="str">
        <f>IF(one.analysis,"",IF(one.refer,Computations!F357,Computations!N292))</f>
        <v/>
      </c>
      <c r="K31" s="109" t="str">
        <f>IF(one.analysis,"",IF(one.refer,Computations!G357,Computations!O292))</f>
        <v/>
      </c>
    </row>
    <row r="32" spans="2:12" ht="15.75" x14ac:dyDescent="0.25">
      <c r="B32" s="173" t="str">
        <f>IF(one.analysis,"",Computations!C56)</f>
        <v/>
      </c>
      <c r="C32" s="65" t="str">
        <f>IF(one.analysis,"",Computations!D56)</f>
        <v/>
      </c>
      <c r="D32" s="65" t="str">
        <f>IF(one.analysis,"",Computations!F56)</f>
        <v/>
      </c>
      <c r="E32" s="174" t="str">
        <f>IF(one.analysis,"",Computations!G56)</f>
        <v/>
      </c>
      <c r="F32" s="99" t="str">
        <f>IF(one.analysis,"",Computations!G143)</f>
        <v/>
      </c>
      <c r="G32" s="175" t="str">
        <f>IF(one.analysis,"",Computations!H143)</f>
        <v/>
      </c>
      <c r="H32" s="41" t="str">
        <f>IF(one.analysis,"",IF(one.refer,Computations!G223,Computations!Q223))</f>
        <v/>
      </c>
      <c r="I32" s="165" t="str">
        <f>IF(one.analysis,"",IF(one.refer,Computations!H223,Computations!R223))</f>
        <v/>
      </c>
      <c r="J32" s="41" t="str">
        <f>IF(one.analysis,"",IF(one.refer,Computations!F358,Computations!N293))</f>
        <v/>
      </c>
      <c r="K32" s="109" t="str">
        <f>IF(one.analysis,"",IF(one.refer,Computations!G358,Computations!O293))</f>
        <v/>
      </c>
    </row>
    <row r="33" spans="2:11" ht="15.75" x14ac:dyDescent="0.25">
      <c r="B33" s="173" t="str">
        <f>IF(one.analysis,"",Computations!C57)</f>
        <v/>
      </c>
      <c r="C33" s="65" t="str">
        <f>IF(one.analysis,"",Computations!D57)</f>
        <v/>
      </c>
      <c r="D33" s="65" t="str">
        <f>IF(one.analysis,"",Computations!F57)</f>
        <v/>
      </c>
      <c r="E33" s="174" t="str">
        <f>IF(one.analysis,"",Computations!G57)</f>
        <v/>
      </c>
      <c r="F33" s="99" t="str">
        <f>IF(one.analysis,"",Computations!G144)</f>
        <v/>
      </c>
      <c r="G33" s="175" t="str">
        <f>IF(one.analysis,"",Computations!H144)</f>
        <v/>
      </c>
      <c r="H33" s="41" t="str">
        <f>IF(one.analysis,"",IF(one.refer,Computations!G224,Computations!Q224))</f>
        <v/>
      </c>
      <c r="I33" s="165" t="str">
        <f>IF(one.analysis,"",IF(one.refer,Computations!H224,Computations!R224))</f>
        <v/>
      </c>
      <c r="J33" s="41" t="str">
        <f>IF(one.analysis,"",IF(one.refer,Computations!F359,Computations!N294))</f>
        <v/>
      </c>
      <c r="K33" s="109" t="str">
        <f>IF(one.analysis,"",IF(one.refer,Computations!G359,Computations!O294))</f>
        <v/>
      </c>
    </row>
    <row r="34" spans="2:11" ht="15.75" x14ac:dyDescent="0.25">
      <c r="B34" s="173" t="str">
        <f>IF(one.analysis,"",Computations!C58)</f>
        <v/>
      </c>
      <c r="C34" s="65" t="str">
        <f>IF(one.analysis,"",Computations!D58)</f>
        <v/>
      </c>
      <c r="D34" s="65" t="str">
        <f>IF(one.analysis,"",Computations!F58)</f>
        <v/>
      </c>
      <c r="E34" s="174" t="str">
        <f>IF(one.analysis,"",Computations!G58)</f>
        <v/>
      </c>
      <c r="F34" s="99" t="str">
        <f>IF(one.analysis,"",Computations!G145)</f>
        <v/>
      </c>
      <c r="G34" s="175" t="str">
        <f>IF(one.analysis,"",Computations!H145)</f>
        <v/>
      </c>
      <c r="H34" s="41" t="str">
        <f>IF(one.analysis,"",IF(one.refer,Computations!G225,Computations!Q225))</f>
        <v/>
      </c>
      <c r="I34" s="165" t="str">
        <f>IF(one.analysis,"",IF(one.refer,Computations!H225,Computations!R225))</f>
        <v/>
      </c>
      <c r="J34" s="41" t="str">
        <f>IF(one.analysis,"",IF(one.refer,Computations!F360,Computations!N295))</f>
        <v/>
      </c>
      <c r="K34" s="109" t="str">
        <f>IF(one.analysis,"",IF(one.refer,Computations!G360,Computations!O295))</f>
        <v/>
      </c>
    </row>
    <row r="35" spans="2:11" ht="15.75" x14ac:dyDescent="0.25">
      <c r="B35" s="173" t="str">
        <f>IF(one.analysis,"",Computations!C59)</f>
        <v/>
      </c>
      <c r="C35" s="65" t="str">
        <f>IF(one.analysis,"",Computations!D59)</f>
        <v/>
      </c>
      <c r="D35" s="65" t="str">
        <f>IF(one.analysis,"",Computations!F59)</f>
        <v/>
      </c>
      <c r="E35" s="174" t="str">
        <f>IF(one.analysis,"",Computations!G59)</f>
        <v/>
      </c>
      <c r="F35" s="99" t="str">
        <f>IF(one.analysis,"",Computations!G146)</f>
        <v/>
      </c>
      <c r="G35" s="175" t="str">
        <f>IF(one.analysis,"",Computations!H146)</f>
        <v/>
      </c>
      <c r="H35" s="41" t="str">
        <f>IF(one.analysis,"",IF(one.refer,Computations!G226,Computations!Q226))</f>
        <v/>
      </c>
      <c r="I35" s="165" t="str">
        <f>IF(one.analysis,"",IF(one.refer,Computations!H226,Computations!R226))</f>
        <v/>
      </c>
      <c r="J35" s="41" t="str">
        <f>IF(one.analysis,"",IF(one.refer,Computations!F361,Computations!N296))</f>
        <v/>
      </c>
      <c r="K35" s="109" t="str">
        <f>IF(one.analysis,"",IF(one.refer,Computations!G361,Computations!O296))</f>
        <v/>
      </c>
    </row>
    <row r="36" spans="2:11" ht="15.75" x14ac:dyDescent="0.25">
      <c r="B36" s="173" t="str">
        <f>IF(one.analysis,"",Computations!C60)</f>
        <v/>
      </c>
      <c r="C36" s="65" t="str">
        <f>IF(one.analysis,"",Computations!D60)</f>
        <v/>
      </c>
      <c r="D36" s="65" t="str">
        <f>IF(one.analysis,"",Computations!F60)</f>
        <v/>
      </c>
      <c r="E36" s="174" t="str">
        <f>IF(one.analysis,"",Computations!G60)</f>
        <v/>
      </c>
      <c r="F36" s="99" t="str">
        <f>IF(one.analysis,"",Computations!G147)</f>
        <v/>
      </c>
      <c r="G36" s="175" t="str">
        <f>IF(one.analysis,"",Computations!H147)</f>
        <v/>
      </c>
      <c r="H36" s="41" t="str">
        <f>IF(one.analysis,"",IF(one.refer,Computations!G227,Computations!Q227))</f>
        <v/>
      </c>
      <c r="I36" s="165" t="str">
        <f>IF(one.analysis,"",IF(one.refer,Computations!H227,Computations!R227))</f>
        <v/>
      </c>
      <c r="J36" s="41" t="str">
        <f>IF(one.analysis,"",IF(one.refer,Computations!F362,Computations!N297))</f>
        <v/>
      </c>
      <c r="K36" s="109" t="str">
        <f>IF(one.analysis,"",IF(one.refer,Computations!G362,Computations!O297))</f>
        <v/>
      </c>
    </row>
    <row r="37" spans="2:11" ht="15.75" x14ac:dyDescent="0.25">
      <c r="B37" s="173" t="str">
        <f>IF(one.analysis,"",Computations!C61)</f>
        <v/>
      </c>
      <c r="C37" s="65" t="str">
        <f>IF(one.analysis,"",Computations!D61)</f>
        <v/>
      </c>
      <c r="D37" s="65" t="str">
        <f>IF(one.analysis,"",Computations!F61)</f>
        <v/>
      </c>
      <c r="E37" s="174" t="str">
        <f>IF(one.analysis,"",Computations!G61)</f>
        <v/>
      </c>
      <c r="F37" s="99" t="str">
        <f>IF(one.analysis,"",Computations!G148)</f>
        <v/>
      </c>
      <c r="G37" s="175" t="str">
        <f>IF(one.analysis,"",Computations!H148)</f>
        <v/>
      </c>
      <c r="H37" s="41" t="str">
        <f>IF(one.analysis,"",IF(one.refer,Computations!G228,Computations!Q228))</f>
        <v/>
      </c>
      <c r="I37" s="165" t="str">
        <f>IF(one.analysis,"",IF(one.refer,Computations!H228,Computations!R228))</f>
        <v/>
      </c>
      <c r="J37" s="41" t="str">
        <f>IF(one.analysis,"",IF(one.refer,Computations!F363,Computations!N298))</f>
        <v/>
      </c>
      <c r="K37" s="109" t="str">
        <f>IF(one.analysis,"",IF(one.refer,Computations!G363,Computations!O298))</f>
        <v/>
      </c>
    </row>
    <row r="38" spans="2:11" ht="15.75" x14ac:dyDescent="0.25">
      <c r="B38" s="173" t="str">
        <f>IF(one.analysis,"",Computations!C62)</f>
        <v/>
      </c>
      <c r="C38" s="65" t="str">
        <f>IF(one.analysis,"",Computations!D62)</f>
        <v/>
      </c>
      <c r="D38" s="65" t="str">
        <f>IF(one.analysis,"",Computations!F62)</f>
        <v/>
      </c>
      <c r="E38" s="174" t="str">
        <f>IF(one.analysis,"",Computations!G62)</f>
        <v/>
      </c>
      <c r="F38" s="99" t="str">
        <f>IF(one.analysis,"",Computations!G149)</f>
        <v/>
      </c>
      <c r="G38" s="175" t="str">
        <f>IF(one.analysis,"",Computations!H149)</f>
        <v/>
      </c>
      <c r="H38" s="41" t="str">
        <f>IF(one.analysis,"",IF(one.refer,Computations!G229,Computations!Q229))</f>
        <v/>
      </c>
      <c r="I38" s="165" t="str">
        <f>IF(one.analysis,"",IF(one.refer,Computations!H229,Computations!R229))</f>
        <v/>
      </c>
      <c r="J38" s="41" t="str">
        <f>IF(one.analysis,"",IF(one.refer,Computations!F364,Computations!N299))</f>
        <v/>
      </c>
      <c r="K38" s="109" t="str">
        <f>IF(one.analysis,"",IF(one.refer,Computations!G364,Computations!O299))</f>
        <v/>
      </c>
    </row>
    <row r="39" spans="2:11" ht="15.75" x14ac:dyDescent="0.25">
      <c r="B39" s="173" t="str">
        <f>IF(one.analysis,"",Computations!C63)</f>
        <v/>
      </c>
      <c r="C39" s="65" t="str">
        <f>IF(one.analysis,"",Computations!D63)</f>
        <v/>
      </c>
      <c r="D39" s="65" t="str">
        <f>IF(one.analysis,"",Computations!F63)</f>
        <v/>
      </c>
      <c r="E39" s="174" t="str">
        <f>IF(one.analysis,"",Computations!G63)</f>
        <v/>
      </c>
      <c r="F39" s="99" t="str">
        <f>IF(one.analysis,"",Computations!G150)</f>
        <v/>
      </c>
      <c r="G39" s="175" t="str">
        <f>IF(one.analysis,"",Computations!H150)</f>
        <v/>
      </c>
      <c r="H39" s="41" t="str">
        <f>IF(one.analysis,"",IF(one.refer,Computations!G230,Computations!Q230))</f>
        <v/>
      </c>
      <c r="I39" s="165" t="str">
        <f>IF(one.analysis,"",IF(one.refer,Computations!H230,Computations!R230))</f>
        <v/>
      </c>
      <c r="J39" s="41" t="str">
        <f>IF(one.analysis,"",IF(one.refer,Computations!F365,Computations!N300))</f>
        <v/>
      </c>
      <c r="K39" s="109" t="str">
        <f>IF(one.analysis,"",IF(one.refer,Computations!G365,Computations!O300))</f>
        <v/>
      </c>
    </row>
    <row r="40" spans="2:11" ht="15.75" x14ac:dyDescent="0.25">
      <c r="B40" s="173" t="str">
        <f>IF(one.analysis,"",Computations!C64)</f>
        <v/>
      </c>
      <c r="C40" s="65" t="str">
        <f>IF(one.analysis,"",Computations!D64)</f>
        <v/>
      </c>
      <c r="D40" s="65" t="str">
        <f>IF(one.analysis,"",Computations!F64)</f>
        <v/>
      </c>
      <c r="E40" s="174" t="str">
        <f>IF(one.analysis,"",Computations!G64)</f>
        <v/>
      </c>
      <c r="F40" s="99" t="str">
        <f>IF(one.analysis,"",Computations!G151)</f>
        <v/>
      </c>
      <c r="G40" s="175" t="str">
        <f>IF(one.analysis,"",Computations!H151)</f>
        <v/>
      </c>
      <c r="H40" s="41" t="str">
        <f>IF(one.analysis,"",IF(one.refer,Computations!G231,Computations!Q231))</f>
        <v/>
      </c>
      <c r="I40" s="165" t="str">
        <f>IF(one.analysis,"",IF(one.refer,Computations!H231,Computations!R231))</f>
        <v/>
      </c>
      <c r="J40" s="41" t="str">
        <f>IF(one.analysis,"",IF(one.refer,Computations!F366,Computations!N301))</f>
        <v/>
      </c>
      <c r="K40" s="109" t="str">
        <f>IF(one.analysis,"",IF(one.refer,Computations!G366,Computations!O301))</f>
        <v/>
      </c>
    </row>
    <row r="41" spans="2:11" ht="15.75" x14ac:dyDescent="0.25">
      <c r="B41" s="173" t="str">
        <f>IF(one.analysis,"",Computations!C65)</f>
        <v/>
      </c>
      <c r="C41" s="65" t="str">
        <f>IF(one.analysis,"",Computations!D65)</f>
        <v/>
      </c>
      <c r="D41" s="65" t="str">
        <f>IF(one.analysis,"",Computations!F65)</f>
        <v/>
      </c>
      <c r="E41" s="174" t="str">
        <f>IF(one.analysis,"",Computations!G65)</f>
        <v/>
      </c>
      <c r="F41" s="99" t="str">
        <f>IF(one.analysis,"",Computations!G152)</f>
        <v/>
      </c>
      <c r="G41" s="175" t="str">
        <f>IF(one.analysis,"",Computations!H152)</f>
        <v/>
      </c>
      <c r="H41" s="41" t="str">
        <f>IF(one.analysis,"",IF(one.refer,Computations!G232,Computations!Q232))</f>
        <v/>
      </c>
      <c r="I41" s="165" t="str">
        <f>IF(one.analysis,"",IF(one.refer,Computations!H232,Computations!R232))</f>
        <v/>
      </c>
      <c r="J41" s="41" t="str">
        <f>IF(one.analysis,"",IF(one.refer,Computations!F367,Computations!N302))</f>
        <v/>
      </c>
      <c r="K41" s="109" t="str">
        <f>IF(one.analysis,"",IF(one.refer,Computations!G367,Computations!O302))</f>
        <v/>
      </c>
    </row>
    <row r="42" spans="2:11" ht="15.75" x14ac:dyDescent="0.25">
      <c r="B42" s="173" t="str">
        <f>IF(one.analysis,"",Computations!C66)</f>
        <v/>
      </c>
      <c r="C42" s="65" t="str">
        <f>IF(one.analysis,"",Computations!D66)</f>
        <v/>
      </c>
      <c r="D42" s="65" t="str">
        <f>IF(one.analysis,"",Computations!F66)</f>
        <v/>
      </c>
      <c r="E42" s="174" t="str">
        <f>IF(one.analysis,"",Computations!G66)</f>
        <v/>
      </c>
      <c r="F42" s="99" t="str">
        <f>IF(one.analysis,"",Computations!G153)</f>
        <v/>
      </c>
      <c r="G42" s="175" t="str">
        <f>IF(one.analysis,"",Computations!H153)</f>
        <v/>
      </c>
      <c r="H42" s="41" t="str">
        <f>IF(one.analysis,"",IF(one.refer,Computations!G233,Computations!Q233))</f>
        <v/>
      </c>
      <c r="I42" s="165" t="str">
        <f>IF(one.analysis,"",IF(one.refer,Computations!H233,Computations!R233))</f>
        <v/>
      </c>
      <c r="J42" s="41" t="str">
        <f>IF(one.analysis,"",IF(one.refer,Computations!F368,Computations!N303))</f>
        <v/>
      </c>
      <c r="K42" s="109" t="str">
        <f>IF(one.analysis,"",IF(one.refer,Computations!G368,Computations!O303))</f>
        <v/>
      </c>
    </row>
    <row r="43" spans="2:11" ht="15.75" x14ac:dyDescent="0.25">
      <c r="B43" s="173" t="str">
        <f>IF(one.analysis,"",Computations!C67)</f>
        <v/>
      </c>
      <c r="C43" s="65" t="str">
        <f>IF(one.analysis,"",Computations!D67)</f>
        <v/>
      </c>
      <c r="D43" s="65" t="str">
        <f>IF(one.analysis,"",Computations!F67)</f>
        <v/>
      </c>
      <c r="E43" s="174" t="str">
        <f>IF(one.analysis,"",Computations!G67)</f>
        <v/>
      </c>
      <c r="F43" s="99" t="str">
        <f>IF(one.analysis,"",Computations!G154)</f>
        <v/>
      </c>
      <c r="G43" s="175" t="str">
        <f>IF(one.analysis,"",Computations!H154)</f>
        <v/>
      </c>
      <c r="H43" s="176" t="str">
        <f>IF(one.analysis,"",IF(one.refer,Computations!G234,Computations!Q234))</f>
        <v/>
      </c>
      <c r="I43" s="177" t="str">
        <f>IF(one.analysis,"",IF(one.refer,Computations!H234,Computations!R234))</f>
        <v/>
      </c>
      <c r="J43" s="176" t="str">
        <f>IF(one.analysis,"",IF(one.refer,Computations!F369,Computations!N304))</f>
        <v/>
      </c>
      <c r="K43" s="178" t="str">
        <f>IF(one.analysis,"",IF(one.refer,Computations!G369,Computations!O304))</f>
        <v/>
      </c>
    </row>
    <row r="44" spans="2:11" ht="15.75" thickBot="1" x14ac:dyDescent="0.3">
      <c r="B44" s="68" t="s">
        <v>23</v>
      </c>
      <c r="C44" s="86" t="str">
        <f>IF(one.analysis,"",Computations!D68)</f>
        <v/>
      </c>
      <c r="D44" s="86" t="str">
        <f>IF(one.analysis,"",Computations!F68)</f>
        <v/>
      </c>
      <c r="E44" s="168" t="str">
        <f>IF(one.analysis,"",Computations!G68)</f>
        <v/>
      </c>
      <c r="F44" s="101" t="str">
        <f>IF(one.analysis,"",Computations!G155)</f>
        <v/>
      </c>
      <c r="G44" s="179" t="str">
        <f>IF(one.analysis,"",Computations!H155)</f>
        <v/>
      </c>
      <c r="H44" s="86" t="str">
        <f>IF(one.analysis,"",IF(one.refer,Computations!G235,Computations!Q235))</f>
        <v/>
      </c>
      <c r="I44" s="168" t="str">
        <f>IF(one.analysis,"",IF(one.refer,Computations!H235,Computations!R235))</f>
        <v/>
      </c>
      <c r="J44" s="86" t="str">
        <f>IF(one.analysis,"",IF(one.refer,Computations!F370,Computations!N305))</f>
        <v/>
      </c>
      <c r="K44" s="110" t="str">
        <f>IF(one.analysis,"",IF(one.refer,Computations!G370,Computations!O305))</f>
        <v/>
      </c>
    </row>
  </sheetData>
  <sheetProtection password="DF21" sheet="1" objects="1" scenarios="1" formatCells="0" formatColumns="0" formatRows="0"/>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36</vt:i4>
      </vt:variant>
    </vt:vector>
  </HeadingPairs>
  <TitlesOfParts>
    <vt:vector size="41" baseType="lpstr">
      <vt:lpstr>Documentation</vt:lpstr>
      <vt:lpstr>Input</vt:lpstr>
      <vt:lpstr>Sample Data</vt:lpstr>
      <vt:lpstr>Computations</vt:lpstr>
      <vt:lpstr>Output</vt:lpstr>
      <vt:lpstr>adjust</vt:lpstr>
      <vt:lpstr>adjust.label</vt:lpstr>
      <vt:lpstr>adjusted.share.of.change</vt:lpstr>
      <vt:lpstr>base</vt:lpstr>
      <vt:lpstr>base.year</vt:lpstr>
      <vt:lpstr>constant.share.projections</vt:lpstr>
      <vt:lpstr>delta</vt:lpstr>
      <vt:lpstr>input.data</vt:lpstr>
      <vt:lpstr>interval.obs</vt:lpstr>
      <vt:lpstr>label</vt:lpstr>
      <vt:lpstr>launch</vt:lpstr>
      <vt:lpstr>launch.year</vt:lpstr>
      <vt:lpstr>limit</vt:lpstr>
      <vt:lpstr>one.analysis</vt:lpstr>
      <vt:lpstr>one.refer</vt:lpstr>
      <vt:lpstr>plus.minus.adjustment</vt:lpstr>
      <vt:lpstr>projected.shift</vt:lpstr>
      <vt:lpstr>refer.area</vt:lpstr>
      <vt:lpstr>refer.label</vt:lpstr>
      <vt:lpstr>s.trend</vt:lpstr>
      <vt:lpstr>share.of.change</vt:lpstr>
      <vt:lpstr>share.of.change.projection</vt:lpstr>
      <vt:lpstr>share.trend.projection</vt:lpstr>
      <vt:lpstr>shift.share.projections</vt:lpstr>
      <vt:lpstr>study.area</vt:lpstr>
      <vt:lpstr>study.label</vt:lpstr>
      <vt:lpstr>sum</vt:lpstr>
      <vt:lpstr>target</vt:lpstr>
      <vt:lpstr>target.year</vt:lpstr>
      <vt:lpstr>variable</vt:lpstr>
      <vt:lpstr>X.base</vt:lpstr>
      <vt:lpstr>X.launch</vt:lpstr>
      <vt:lpstr>X.target</vt:lpstr>
      <vt:lpstr>x1.base</vt:lpstr>
      <vt:lpstr>x1.launch</vt:lpstr>
      <vt:lpstr>x1.target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2018-09-26T19:33:33Z</dcterms:created>
  <dcterms:modified xsi:type="dcterms:W3CDTF">2019-10-20T19:26:24Z</dcterms:modified>
</cp:coreProperties>
</file>