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026"/>
  <workbookPr defaultThemeVersion="166925"/>
  <mc:AlternateContent xmlns:mc="http://schemas.openxmlformats.org/markup-compatibility/2006">
    <mc:Choice Requires="x15">
      <x15ac:absPath xmlns:x15ac="http://schemas.microsoft.com/office/spreadsheetml/2010/11/ac" url="D:\Textbook\Tools\Hamilton-Perry\"/>
    </mc:Choice>
  </mc:AlternateContent>
  <xr:revisionPtr revIDLastSave="0" documentId="13_ncr:1_{0E83EC3D-420A-48B5-8837-A5F543045765}" xr6:coauthVersionLast="45" xr6:coauthVersionMax="45" xr10:uidLastSave="{00000000-0000-0000-0000-000000000000}"/>
  <bookViews>
    <workbookView xWindow="-120" yWindow="-120" windowWidth="29040" windowHeight="15840" activeTab="1" xr2:uid="{76FAC5B8-A9F4-42DB-9F8B-9B502ADC4CDA}"/>
  </bookViews>
  <sheets>
    <sheet name="Documentation" sheetId="1" r:id="rId1"/>
    <sheet name="Input" sheetId="2" r:id="rId2"/>
    <sheet name="Computations" sheetId="3" r:id="rId3"/>
    <sheet name="Output" sheetId="4" r:id="rId4"/>
  </sheets>
  <externalReferences>
    <externalReference r:id="rId5"/>
  </externalReferences>
  <definedNames>
    <definedName name="adjust">[1]Computations!$K$11</definedName>
    <definedName name="base.year">Input!$C$10</definedName>
    <definedName name="launch.year">Input!$C$11</definedName>
    <definedName name="one.analysis">[1]Computations!$K$18</definedName>
    <definedName name="one.refer">[1]Computations!$K$19</definedName>
    <definedName name="population">Input!$C$9</definedName>
    <definedName name="refer.area">Input!#REF!</definedName>
    <definedName name="refer.label">Input!#REF!</definedName>
    <definedName name="study.area">Input!$C$8</definedName>
    <definedName name="study.label">Input!#REF!</definedName>
    <definedName name="target">[1]Computations!$K$22</definedName>
    <definedName name="target.10">Computations!$O$3</definedName>
    <definedName name="target.20">Computations!$O$4</definedName>
    <definedName name="target.30">Computations!$O$5</definedName>
    <definedName name="target.40">Computations!$O$6</definedName>
    <definedName name="target.50">Computations!$O$7</definedName>
    <definedName name="target.year">Input!$C$12</definedName>
    <definedName name="variable">Input!#REF!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4" i="2" l="1"/>
  <c r="I8" i="2" l="1"/>
  <c r="G8" i="2"/>
  <c r="E6" i="2"/>
  <c r="S75" i="3" l="1"/>
  <c r="O75" i="3"/>
  <c r="K41" i="3"/>
  <c r="J41" i="3"/>
  <c r="I41" i="3"/>
  <c r="H41" i="3"/>
  <c r="G41" i="3"/>
  <c r="E41" i="3"/>
  <c r="D41" i="3"/>
  <c r="K5" i="3"/>
  <c r="J5" i="3"/>
  <c r="I5" i="3"/>
  <c r="H5" i="3"/>
  <c r="G5" i="3"/>
  <c r="E5" i="3"/>
  <c r="D5" i="3"/>
  <c r="I60" i="3" l="1"/>
  <c r="H60" i="3"/>
  <c r="I56" i="3"/>
  <c r="D60" i="3"/>
  <c r="I24" i="3"/>
  <c r="D32" i="3"/>
  <c r="D28" i="3"/>
  <c r="D68" i="3"/>
  <c r="D64" i="3"/>
  <c r="D24" i="3"/>
  <c r="H24" i="3"/>
  <c r="I20" i="3"/>
  <c r="D56" i="3"/>
  <c r="C60" i="3"/>
  <c r="C68" i="3"/>
  <c r="C32" i="3"/>
  <c r="C24" i="3"/>
  <c r="D20" i="3" l="1"/>
  <c r="S86" i="3" l="1"/>
  <c r="S85" i="3"/>
  <c r="S84" i="3"/>
  <c r="S83" i="3"/>
  <c r="S82" i="3"/>
  <c r="S81" i="3"/>
  <c r="S80" i="3"/>
  <c r="S79" i="3"/>
  <c r="S78" i="3"/>
  <c r="O86" i="3"/>
  <c r="O85" i="3"/>
  <c r="O84" i="3"/>
  <c r="O83" i="3"/>
  <c r="O82" i="3"/>
  <c r="O81" i="3"/>
  <c r="O80" i="3"/>
  <c r="O79" i="3"/>
  <c r="O78" i="3"/>
  <c r="E15" i="4"/>
  <c r="D15" i="4"/>
  <c r="E12" i="4"/>
  <c r="E7" i="4"/>
  <c r="D7" i="4"/>
  <c r="J4" i="4"/>
  <c r="D4" i="4"/>
  <c r="B2" i="4"/>
  <c r="E86" i="3"/>
  <c r="F86" i="3" s="1"/>
  <c r="F15" i="4" s="1"/>
  <c r="E85" i="3"/>
  <c r="E14" i="4" s="1"/>
  <c r="E84" i="3"/>
  <c r="E13" i="4" s="1"/>
  <c r="E83" i="3"/>
  <c r="Q83" i="3" s="1"/>
  <c r="E82" i="3"/>
  <c r="E11" i="4" s="1"/>
  <c r="E81" i="3"/>
  <c r="Q81" i="3" s="1"/>
  <c r="E80" i="3"/>
  <c r="E9" i="4" s="1"/>
  <c r="E79" i="3"/>
  <c r="E87" i="3" s="1"/>
  <c r="E78" i="3"/>
  <c r="Q78" i="3" s="1"/>
  <c r="D86" i="3"/>
  <c r="P86" i="3" s="1"/>
  <c r="D85" i="3"/>
  <c r="P85" i="3" s="1"/>
  <c r="D84" i="3"/>
  <c r="P84" i="3" s="1"/>
  <c r="D83" i="3"/>
  <c r="D12" i="4" s="1"/>
  <c r="D82" i="3"/>
  <c r="D11" i="4" s="1"/>
  <c r="D81" i="3"/>
  <c r="D10" i="4" s="1"/>
  <c r="D80" i="3"/>
  <c r="F80" i="3" s="1"/>
  <c r="F9" i="4" s="1"/>
  <c r="D79" i="3"/>
  <c r="P79" i="3" s="1"/>
  <c r="D78" i="3"/>
  <c r="F85" i="3"/>
  <c r="F14" i="4" s="1"/>
  <c r="F82" i="3"/>
  <c r="F11" i="4" s="1"/>
  <c r="F81" i="3"/>
  <c r="F10" i="4" s="1"/>
  <c r="J75" i="3"/>
  <c r="D75" i="3"/>
  <c r="B73" i="3"/>
  <c r="P80" i="3" l="1"/>
  <c r="P81" i="3"/>
  <c r="E10" i="4"/>
  <c r="D13" i="4"/>
  <c r="Q84" i="3"/>
  <c r="P82" i="3"/>
  <c r="Q82" i="3"/>
  <c r="F83" i="3"/>
  <c r="F12" i="4" s="1"/>
  <c r="F78" i="3"/>
  <c r="F7" i="4" s="1"/>
  <c r="D8" i="4"/>
  <c r="Q85" i="3"/>
  <c r="P83" i="3"/>
  <c r="E8" i="4"/>
  <c r="E16" i="4" s="1"/>
  <c r="Q86" i="3"/>
  <c r="D14" i="4"/>
  <c r="Q79" i="3"/>
  <c r="D9" i="4"/>
  <c r="D16" i="4" s="1"/>
  <c r="Q80" i="3"/>
  <c r="P78" i="3"/>
  <c r="F79" i="3"/>
  <c r="F8" i="4" s="1"/>
  <c r="F84" i="3"/>
  <c r="D87" i="3"/>
  <c r="F16" i="4" l="1"/>
  <c r="F87" i="3"/>
  <c r="F13" i="4"/>
  <c r="B37" i="3" l="1"/>
  <c r="B1" i="3"/>
  <c r="O7" i="3"/>
  <c r="O6" i="3"/>
  <c r="O5" i="3"/>
  <c r="O4" i="3"/>
  <c r="O3" i="3"/>
  <c r="K40" i="3"/>
  <c r="J40" i="3"/>
  <c r="I40" i="3"/>
  <c r="H40" i="3"/>
  <c r="G40" i="3"/>
  <c r="E40" i="3"/>
  <c r="D40" i="3"/>
  <c r="K4" i="3"/>
  <c r="J4" i="3"/>
  <c r="I4" i="3"/>
  <c r="H4" i="3"/>
  <c r="G4" i="3"/>
  <c r="E4" i="3"/>
  <c r="D4" i="3"/>
  <c r="G4" i="4" l="1"/>
  <c r="G75" i="3"/>
  <c r="E52" i="3"/>
  <c r="E51" i="3"/>
  <c r="E50" i="3"/>
  <c r="E49" i="3"/>
  <c r="E48" i="3"/>
  <c r="E47" i="3"/>
  <c r="E46" i="3"/>
  <c r="E45" i="3"/>
  <c r="E44" i="3"/>
  <c r="D52" i="3"/>
  <c r="D51" i="3"/>
  <c r="D50" i="3"/>
  <c r="D49" i="3"/>
  <c r="D48" i="3"/>
  <c r="D47" i="3"/>
  <c r="D46" i="3"/>
  <c r="D45" i="3"/>
  <c r="D44" i="3"/>
  <c r="E16" i="3"/>
  <c r="E15" i="3"/>
  <c r="E14" i="3"/>
  <c r="E13" i="3"/>
  <c r="E12" i="3"/>
  <c r="E11" i="3"/>
  <c r="E10" i="3"/>
  <c r="E9" i="3"/>
  <c r="E8" i="3"/>
  <c r="D16" i="3"/>
  <c r="D15" i="3"/>
  <c r="D14" i="3"/>
  <c r="D13" i="3"/>
  <c r="D12" i="3"/>
  <c r="D11" i="3"/>
  <c r="D10" i="3"/>
  <c r="D9" i="3"/>
  <c r="D8" i="3"/>
  <c r="D65" i="3" l="1"/>
  <c r="D66" i="3"/>
  <c r="D69" i="3" s="1"/>
  <c r="I58" i="3"/>
  <c r="I61" i="3" s="1"/>
  <c r="I57" i="3"/>
  <c r="D57" i="3"/>
  <c r="D58" i="3"/>
  <c r="D61" i="3" s="1"/>
  <c r="D17" i="3"/>
  <c r="I22" i="3"/>
  <c r="I25" i="3" s="1"/>
  <c r="I21" i="3"/>
  <c r="D30" i="3"/>
  <c r="D34" i="3" s="1"/>
  <c r="D29" i="3"/>
  <c r="D33" i="3"/>
  <c r="D21" i="3"/>
  <c r="D22" i="3"/>
  <c r="D25" i="3" s="1"/>
  <c r="E17" i="3"/>
  <c r="J20" i="2"/>
  <c r="I20" i="2"/>
  <c r="H20" i="2"/>
  <c r="G20" i="2"/>
  <c r="D70" i="3" l="1"/>
  <c r="F51" i="3"/>
  <c r="I62" i="3" s="1"/>
  <c r="F50" i="3"/>
  <c r="G51" i="3" s="1"/>
  <c r="F49" i="3"/>
  <c r="G50" i="3" s="1"/>
  <c r="F47" i="3"/>
  <c r="G48" i="3" s="1"/>
  <c r="F46" i="3"/>
  <c r="G47" i="3" s="1"/>
  <c r="F45" i="3"/>
  <c r="G46" i="3" s="1"/>
  <c r="E53" i="3"/>
  <c r="D53" i="3"/>
  <c r="F43" i="3"/>
  <c r="F15" i="3"/>
  <c r="I26" i="3" s="1"/>
  <c r="F14" i="3"/>
  <c r="F13" i="3"/>
  <c r="F12" i="3"/>
  <c r="F11" i="3"/>
  <c r="F10" i="3"/>
  <c r="F9" i="3"/>
  <c r="F8" i="3"/>
  <c r="D26" i="3" s="1"/>
  <c r="F7" i="3"/>
  <c r="H48" i="3" l="1"/>
  <c r="G52" i="3"/>
  <c r="H52" i="3" s="1"/>
  <c r="G8" i="3"/>
  <c r="H9" i="3" s="1"/>
  <c r="G14" i="3"/>
  <c r="H15" i="3" s="1"/>
  <c r="G9" i="3"/>
  <c r="H10" i="3" s="1"/>
  <c r="I11" i="3" s="1"/>
  <c r="H81" i="3" s="1"/>
  <c r="G44" i="3"/>
  <c r="G15" i="3"/>
  <c r="G10" i="3"/>
  <c r="H11" i="3" s="1"/>
  <c r="I12" i="3" s="1"/>
  <c r="H82" i="3" s="1"/>
  <c r="G11" i="3"/>
  <c r="H12" i="3" s="1"/>
  <c r="I13" i="3" s="1"/>
  <c r="H83" i="3" s="1"/>
  <c r="G12" i="3"/>
  <c r="H13" i="3" s="1"/>
  <c r="I14" i="3" s="1"/>
  <c r="H84" i="3" s="1"/>
  <c r="H51" i="3"/>
  <c r="H47" i="3"/>
  <c r="I48" i="3" s="1"/>
  <c r="G82" i="3" s="1"/>
  <c r="G13" i="3"/>
  <c r="H14" i="3" s="1"/>
  <c r="I15" i="3" s="1"/>
  <c r="H85" i="3" s="1"/>
  <c r="G16" i="3"/>
  <c r="F44" i="3"/>
  <c r="F48" i="3"/>
  <c r="G49" i="3" s="1"/>
  <c r="H50" i="3" s="1"/>
  <c r="I51" i="3" s="1"/>
  <c r="G85" i="3" s="1"/>
  <c r="G45" i="3" l="1"/>
  <c r="H46" i="3" s="1"/>
  <c r="I47" i="3" s="1"/>
  <c r="G81" i="3" s="1"/>
  <c r="D62" i="3"/>
  <c r="U85" i="3"/>
  <c r="K85" i="3"/>
  <c r="K14" i="4" s="1"/>
  <c r="H14" i="4"/>
  <c r="U81" i="3"/>
  <c r="H10" i="4"/>
  <c r="K81" i="3"/>
  <c r="K10" i="4" s="1"/>
  <c r="G11" i="4"/>
  <c r="T82" i="3"/>
  <c r="I82" i="3"/>
  <c r="J82" i="3"/>
  <c r="J11" i="4" s="1"/>
  <c r="U82" i="3"/>
  <c r="H11" i="4"/>
  <c r="K82" i="3"/>
  <c r="K11" i="4" s="1"/>
  <c r="U84" i="3"/>
  <c r="H13" i="4"/>
  <c r="K84" i="3"/>
  <c r="K13" i="4" s="1"/>
  <c r="J85" i="3"/>
  <c r="J14" i="4" s="1"/>
  <c r="I85" i="3"/>
  <c r="T85" i="3"/>
  <c r="G14" i="4"/>
  <c r="U83" i="3"/>
  <c r="K83" i="3"/>
  <c r="K12" i="4" s="1"/>
  <c r="H12" i="4"/>
  <c r="I52" i="3"/>
  <c r="G86" i="3" s="1"/>
  <c r="J12" i="3"/>
  <c r="K13" i="3" s="1"/>
  <c r="J15" i="3"/>
  <c r="J14" i="3"/>
  <c r="K15" i="3" s="1"/>
  <c r="J13" i="3"/>
  <c r="K14" i="3" s="1"/>
  <c r="H8" i="3"/>
  <c r="I9" i="3" s="1"/>
  <c r="H79" i="3" s="1"/>
  <c r="H16" i="3"/>
  <c r="I16" i="3" s="1"/>
  <c r="H86" i="3" s="1"/>
  <c r="J49" i="3"/>
  <c r="K50" i="3" s="1"/>
  <c r="H44" i="3"/>
  <c r="H49" i="3"/>
  <c r="I50" i="3" s="1"/>
  <c r="G84" i="3" s="1"/>
  <c r="G17" i="3"/>
  <c r="I49" i="3"/>
  <c r="G83" i="3" s="1"/>
  <c r="H45" i="3"/>
  <c r="I46" i="3" s="1"/>
  <c r="G80" i="3" s="1"/>
  <c r="I44" i="3"/>
  <c r="G78" i="3" s="1"/>
  <c r="I10" i="3"/>
  <c r="H80" i="3" s="1"/>
  <c r="I8" i="3"/>
  <c r="H78" i="3" s="1"/>
  <c r="U80" i="3" l="1"/>
  <c r="H9" i="4"/>
  <c r="K80" i="3"/>
  <c r="K9" i="4" s="1"/>
  <c r="G7" i="4"/>
  <c r="I78" i="3"/>
  <c r="T78" i="3"/>
  <c r="J78" i="3"/>
  <c r="J7" i="4" s="1"/>
  <c r="U79" i="3"/>
  <c r="H8" i="4"/>
  <c r="K79" i="3"/>
  <c r="K8" i="4" s="1"/>
  <c r="J80" i="3"/>
  <c r="J9" i="4" s="1"/>
  <c r="I80" i="3"/>
  <c r="T80" i="3"/>
  <c r="G9" i="4"/>
  <c r="J48" i="3"/>
  <c r="K49" i="3" s="1"/>
  <c r="U78" i="3"/>
  <c r="H7" i="4"/>
  <c r="K78" i="3"/>
  <c r="K7" i="4" s="1"/>
  <c r="H87" i="3"/>
  <c r="K87" i="3" s="1"/>
  <c r="I83" i="3"/>
  <c r="T83" i="3"/>
  <c r="J83" i="3"/>
  <c r="J12" i="4" s="1"/>
  <c r="G12" i="4"/>
  <c r="J84" i="3"/>
  <c r="J13" i="4" s="1"/>
  <c r="T84" i="3"/>
  <c r="G13" i="4"/>
  <c r="I84" i="3"/>
  <c r="L85" i="3"/>
  <c r="L14" i="4" s="1"/>
  <c r="I14" i="4"/>
  <c r="I11" i="4"/>
  <c r="L82" i="3"/>
  <c r="L11" i="4" s="1"/>
  <c r="G15" i="4"/>
  <c r="I86" i="3"/>
  <c r="J86" i="3"/>
  <c r="J15" i="4" s="1"/>
  <c r="T86" i="3"/>
  <c r="U86" i="3"/>
  <c r="H15" i="4"/>
  <c r="K86" i="3"/>
  <c r="K15" i="4" s="1"/>
  <c r="J81" i="3"/>
  <c r="J10" i="4" s="1"/>
  <c r="T81" i="3"/>
  <c r="I81" i="3"/>
  <c r="G10" i="4"/>
  <c r="J52" i="3"/>
  <c r="J16" i="3"/>
  <c r="K16" i="3" s="1"/>
  <c r="J51" i="3"/>
  <c r="J45" i="3"/>
  <c r="K46" i="3" s="1"/>
  <c r="J11" i="3"/>
  <c r="K12" i="3" s="1"/>
  <c r="J47" i="3"/>
  <c r="K48" i="3" s="1"/>
  <c r="J50" i="3"/>
  <c r="K51" i="3" s="1"/>
  <c r="H17" i="3"/>
  <c r="I45" i="3"/>
  <c r="G79" i="3" s="1"/>
  <c r="G87" i="3" s="1"/>
  <c r="J87" i="3" s="1"/>
  <c r="I17" i="3"/>
  <c r="J9" i="3"/>
  <c r="J10" i="3"/>
  <c r="K11" i="3" s="1"/>
  <c r="J44" i="3"/>
  <c r="J8" i="3"/>
  <c r="K52" i="3" l="1"/>
  <c r="L83" i="3"/>
  <c r="L12" i="4" s="1"/>
  <c r="I12" i="4"/>
  <c r="I9" i="4"/>
  <c r="L80" i="3"/>
  <c r="L9" i="4" s="1"/>
  <c r="L84" i="3"/>
  <c r="L13" i="4" s="1"/>
  <c r="I13" i="4"/>
  <c r="I7" i="4"/>
  <c r="L78" i="3"/>
  <c r="L7" i="4" s="1"/>
  <c r="T79" i="3"/>
  <c r="J79" i="3"/>
  <c r="J8" i="4" s="1"/>
  <c r="G8" i="4"/>
  <c r="G16" i="4" s="1"/>
  <c r="J16" i="4" s="1"/>
  <c r="I79" i="3"/>
  <c r="I10" i="4"/>
  <c r="L81" i="3"/>
  <c r="L10" i="4" s="1"/>
  <c r="I15" i="4"/>
  <c r="L86" i="3"/>
  <c r="L15" i="4" s="1"/>
  <c r="H16" i="4"/>
  <c r="K16" i="4" s="1"/>
  <c r="J46" i="3"/>
  <c r="K47" i="3" s="1"/>
  <c r="J17" i="3"/>
  <c r="K9" i="3"/>
  <c r="K45" i="3"/>
  <c r="K44" i="3"/>
  <c r="K10" i="3"/>
  <c r="K8" i="3"/>
  <c r="J53" i="3" l="1"/>
  <c r="I8" i="4"/>
  <c r="L79" i="3"/>
  <c r="L8" i="4" s="1"/>
  <c r="I87" i="3"/>
  <c r="L87" i="3" s="1"/>
  <c r="I16" i="4"/>
  <c r="L16" i="4" s="1"/>
  <c r="K53" i="3"/>
  <c r="K17" i="3"/>
  <c r="G53" i="3" l="1"/>
  <c r="H53" i="3"/>
  <c r="I53" i="3" l="1"/>
</calcChain>
</file>

<file path=xl/sharedStrings.xml><?xml version="1.0" encoding="utf-8"?>
<sst xmlns="http://schemas.openxmlformats.org/spreadsheetml/2006/main" count="237" uniqueCount="79">
  <si>
    <t xml:space="preserve">Further information on the book is available at: </t>
  </si>
  <si>
    <t>https://planningsupport.org/</t>
  </si>
  <si>
    <t>The workbook was developed by Richard Klosterman. Questions and comments can be sent to:</t>
  </si>
  <si>
    <t>mailto:dick.klosterman@gmail.com</t>
  </si>
  <si>
    <t>Contents</t>
  </si>
  <si>
    <t>Inputs and Procedures</t>
  </si>
  <si>
    <t>The following values are entered on the Input worksheet.</t>
  </si>
  <si>
    <t>Hamilton-Perry_1.00.xlsx</t>
  </si>
  <si>
    <t xml:space="preserve">The Hamilton-Perry workbook has four worksheets: </t>
  </si>
  <si>
    <t>Cohort</t>
  </si>
  <si>
    <t>Ages</t>
  </si>
  <si>
    <t>Female Population</t>
  </si>
  <si>
    <t>Transition</t>
  </si>
  <si>
    <t>Ratio</t>
  </si>
  <si>
    <t>(1)</t>
  </si>
  <si>
    <t>(2)</t>
  </si>
  <si>
    <t>(3)</t>
  </si>
  <si>
    <t>(4)</t>
  </si>
  <si>
    <t>(5)</t>
  </si>
  <si>
    <t>(6)</t>
  </si>
  <si>
    <t>(7)</t>
  </si>
  <si>
    <t>(8)</t>
  </si>
  <si>
    <t>--</t>
  </si>
  <si>
    <t>0-9</t>
  </si>
  <si>
    <t>10-19</t>
  </si>
  <si>
    <t>20-29</t>
  </si>
  <si>
    <t>30-39</t>
  </si>
  <si>
    <t>40-49</t>
  </si>
  <si>
    <t>50-59</t>
  </si>
  <si>
    <t>60-69</t>
  </si>
  <si>
    <t>70-79</t>
  </si>
  <si>
    <t>80+</t>
  </si>
  <si>
    <t>Total</t>
  </si>
  <si>
    <t>Male Population</t>
  </si>
  <si>
    <t>(9)</t>
  </si>
  <si>
    <t>(10)</t>
  </si>
  <si>
    <t>Male</t>
  </si>
  <si>
    <t>Female</t>
  </si>
  <si>
    <t>Label =</t>
  </si>
  <si>
    <t xml:space="preserve">Decatur </t>
  </si>
  <si>
    <t>Base Year =</t>
  </si>
  <si>
    <t>Launch Year =</t>
  </si>
  <si>
    <t>Target Year =</t>
  </si>
  <si>
    <t>Hamilton-Perry Input Data</t>
  </si>
  <si>
    <t>Study Area =</t>
  </si>
  <si>
    <t xml:space="preserve">Population = </t>
  </si>
  <si>
    <t>target.10 =</t>
  </si>
  <si>
    <t>target.20 =</t>
  </si>
  <si>
    <t>target.30 =</t>
  </si>
  <si>
    <t>target.40 =</t>
  </si>
  <si>
    <t>target.50 =</t>
  </si>
  <si>
    <t>(11)</t>
  </si>
  <si>
    <t>n</t>
  </si>
  <si>
    <t>=</t>
  </si>
  <si>
    <t>CWRF =</t>
  </si>
  <si>
    <t>CWRM =</t>
  </si>
  <si>
    <t>Age</t>
  </si>
  <si>
    <t>CCRF{1,2} =</t>
  </si>
  <si>
    <t>CCRM{8+9,9} =</t>
  </si>
  <si>
    <t>CCRF{8+9,9} =</t>
  </si>
  <si>
    <t>CCRM{1,2} =</t>
  </si>
  <si>
    <r>
      <t xml:space="preserve">(2) </t>
    </r>
    <r>
      <rPr>
        <b/>
        <sz val="12"/>
        <color theme="1"/>
        <rFont val="Calibri"/>
        <family val="2"/>
        <scheme val="minor"/>
      </rPr>
      <t>Input</t>
    </r>
    <r>
      <rPr>
        <sz val="12"/>
        <color theme="1"/>
        <rFont val="Calibri"/>
        <family val="2"/>
        <scheme val="minor"/>
      </rPr>
      <t xml:space="preserve"> is used to enter the Hamilton-Perry projection parameters and observed data; </t>
    </r>
  </si>
  <si>
    <r>
      <t xml:space="preserve">(3) </t>
    </r>
    <r>
      <rPr>
        <b/>
        <sz val="12"/>
        <color theme="1"/>
        <rFont val="Calibri"/>
        <family val="2"/>
        <scheme val="minor"/>
      </rPr>
      <t>Calculation</t>
    </r>
    <r>
      <rPr>
        <sz val="12"/>
        <color theme="1"/>
        <rFont val="Calibri"/>
        <family val="2"/>
        <scheme val="minor"/>
      </rPr>
      <t xml:space="preserve"> computes the Hamilton-Perry population projections. The worksheet is protected and cannot be modified by users. </t>
    </r>
  </si>
  <si>
    <t xml:space="preserve">The Input worksheet is used to enter five parameters and the observed male and female population in the base and launch years. These data are entered in cells highlighted in blue. The other cells are locked and cannot be modified by the user. </t>
  </si>
  <si>
    <r>
      <t xml:space="preserve">(2) </t>
    </r>
    <r>
      <rPr>
        <b/>
        <sz val="12"/>
        <color theme="1"/>
        <rFont val="Calibri"/>
        <family val="2"/>
        <scheme val="minor"/>
      </rPr>
      <t>Population</t>
    </r>
    <r>
      <rPr>
        <sz val="12"/>
        <color theme="1"/>
        <rFont val="Calibri"/>
        <family val="2"/>
        <scheme val="minor"/>
      </rPr>
      <t>, the population to be projected, e.g., "Total," "White," or "Hispanic."</t>
    </r>
  </si>
  <si>
    <t>Outputs</t>
  </si>
  <si>
    <t xml:space="preserve">The Output worksheet contains one table and two population pyramids.  The cells in the table are locked and cannot be changed; the rest of the worksheet is not protected. </t>
  </si>
  <si>
    <t>The population pyramids display the observed population by age and sex in the launch year and the projected population by age and sex in the target year.</t>
  </si>
  <si>
    <r>
      <t xml:space="preserve">(1) </t>
    </r>
    <r>
      <rPr>
        <b/>
        <sz val="12"/>
        <color theme="1"/>
        <rFont val="Calibri"/>
        <family val="2"/>
        <scheme val="minor"/>
      </rPr>
      <t>Study Area</t>
    </r>
    <r>
      <rPr>
        <sz val="12"/>
        <color theme="1"/>
        <rFont val="Calibri"/>
        <family val="2"/>
        <scheme val="minor"/>
      </rPr>
      <t>, the study area name.</t>
    </r>
  </si>
  <si>
    <t>The parameter values define the Label displayed at the top of the Input and the headings for the Input, Computation, and Output worksheet tables.</t>
  </si>
  <si>
    <t>After entering the parameter values, users should clear the other blue cells and enter the required study area population by age and sex in the base year and the launch year.</t>
  </si>
  <si>
    <t xml:space="preserve">The table reports the study area population by age and sex and the total population by age in the base year and the target year . It also reports the percentage change in the population components between the base year and the target year. </t>
  </si>
  <si>
    <r>
      <t xml:space="preserve">The Hamilton-Perry workbook implements the Hamilton-Perry projection method described in Chapter 5 of Richard E. Klosterman, Kerry Brooks, Joshua Drucker, Edward Feser, and Henry Renski. </t>
    </r>
    <r>
      <rPr>
        <i/>
        <sz val="12"/>
        <color theme="1"/>
        <rFont val="Calibri"/>
        <family val="2"/>
        <scheme val="minor"/>
      </rPr>
      <t xml:space="preserve">Planning Support Methods: Urban and Regional Analysis and Projection </t>
    </r>
    <r>
      <rPr>
        <sz val="12"/>
        <color theme="1"/>
        <rFont val="Calibri"/>
        <family val="2"/>
        <scheme val="minor"/>
      </rPr>
      <t>(Rowman and Littlefield: 2018)</t>
    </r>
    <r>
      <rPr>
        <i/>
        <sz val="12"/>
        <color theme="1"/>
        <rFont val="Calibri"/>
        <family val="2"/>
        <scheme val="minor"/>
      </rPr>
      <t xml:space="preserve">. </t>
    </r>
  </si>
  <si>
    <r>
      <t xml:space="preserve">(1) </t>
    </r>
    <r>
      <rPr>
        <b/>
        <sz val="12"/>
        <color theme="1"/>
        <rFont val="Calibri"/>
        <family val="2"/>
        <scheme val="minor"/>
      </rPr>
      <t>Documentation</t>
    </r>
    <r>
      <rPr>
        <sz val="12"/>
        <color theme="1"/>
        <rFont val="Calibri"/>
        <family val="2"/>
        <scheme val="minor"/>
      </rPr>
      <t xml:space="preserve"> describes the Hamilton-Perry workbook, procedures for using it, the required inputs, and the outputs; </t>
    </r>
  </si>
  <si>
    <t>The Hamilton-Perry workbook projects the male and female population in nine age cohorts (ages 0-9 through  80+) for one to five decades. The workbook is distributed with population data for Decatur, Georgia, that are used on pages 84 to 90 of the Planning Support Methods text.</t>
  </si>
  <si>
    <r>
      <t xml:space="preserve">(4) </t>
    </r>
    <r>
      <rPr>
        <b/>
        <sz val="12"/>
        <color theme="1"/>
        <rFont val="Calibri"/>
        <family val="2"/>
        <scheme val="minor"/>
      </rPr>
      <t>Output</t>
    </r>
    <r>
      <rPr>
        <sz val="12"/>
        <color theme="1"/>
        <rFont val="Calibri"/>
        <family val="2"/>
        <scheme val="minor"/>
      </rPr>
      <t xml:space="preserve"> reports the observed and projected male and female population for nine age cohorts. It also plots the launch year and the target year population pyramids.</t>
    </r>
  </si>
  <si>
    <r>
      <t xml:space="preserve">(3) </t>
    </r>
    <r>
      <rPr>
        <b/>
        <sz val="12"/>
        <color theme="1"/>
        <rFont val="Calibri"/>
        <family val="2"/>
        <scheme val="minor"/>
      </rPr>
      <t>Base Year</t>
    </r>
    <r>
      <rPr>
        <sz val="12"/>
        <color theme="1"/>
        <rFont val="Calibri"/>
        <family val="2"/>
        <scheme val="minor"/>
      </rPr>
      <t>, the first observation year.</t>
    </r>
  </si>
  <si>
    <r>
      <t>(4</t>
    </r>
    <r>
      <rPr>
        <b/>
        <sz val="12"/>
        <color theme="1"/>
        <rFont val="Calibri"/>
        <family val="2"/>
        <scheme val="minor"/>
      </rPr>
      <t>) Launch Year</t>
    </r>
    <r>
      <rPr>
        <sz val="12"/>
        <color theme="1"/>
        <rFont val="Calibri"/>
        <family val="2"/>
        <scheme val="minor"/>
      </rPr>
      <t>, the last year observation year.</t>
    </r>
  </si>
  <si>
    <r>
      <t xml:space="preserve">(5) </t>
    </r>
    <r>
      <rPr>
        <b/>
        <sz val="12"/>
        <color theme="1"/>
        <rFont val="Calibri"/>
        <family val="2"/>
        <scheme val="minor"/>
      </rPr>
      <t>Target Year</t>
    </r>
    <r>
      <rPr>
        <sz val="12"/>
        <color theme="1"/>
        <rFont val="Calibri"/>
        <family val="2"/>
        <scheme val="minor"/>
      </rPr>
      <t>, the projection year.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</si>
</sst>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
    <numFmt numFmtId="166" formatCode="#,##0.000"/>
  </numFmts>
  <fonts count="24" x14ac:knownFonts="1">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4"/>
      <color theme="1"/>
      <name val="Calibri"/>
      <family val="2"/>
      <scheme val="minor"/>
    </font>
    <font>
      <b/>
      <sz val="12"/>
      <color theme="1"/>
      <name val="Calibri"/>
      <family val="2"/>
      <scheme val="minor"/>
    </font>
    <font>
      <sz val="12"/>
      <color theme="1"/>
      <name val="Calibri"/>
      <family val="2"/>
      <scheme val="minor"/>
    </font>
    <font>
      <i/>
      <sz val="12"/>
      <color theme="1"/>
      <name val="Calibri"/>
      <family val="2"/>
      <scheme val="minor"/>
    </font>
    <font>
      <sz val="1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b/>
      <sz val="18"/>
      <color theme="3"/>
      <name val="Calibri Light"/>
      <family val="2"/>
      <scheme val="major"/>
    </font>
    <font>
      <sz val="11"/>
      <color rgb="FF9C6500"/>
      <name val="Calibri"/>
      <family val="2"/>
      <scheme val="minor"/>
    </font>
  </fonts>
  <fills count="35">
    <fill>
      <patternFill patternType="none"/>
    </fill>
    <fill>
      <patternFill patternType="gray125"/>
    </fill>
    <fill>
      <patternFill patternType="solid">
        <fgColor theme="3" tint="0.79998168889431442"/>
        <bgColor indexed="64"/>
      </patternFill>
    </fill>
    <fill>
      <patternFill patternType="solid">
        <fgColor theme="4"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42">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auto="1"/>
      </left>
      <right/>
      <top style="thick">
        <color auto="1"/>
      </top>
      <bottom/>
      <diagonal/>
    </border>
    <border>
      <left/>
      <right/>
      <top style="thick">
        <color auto="1"/>
      </top>
      <bottom/>
      <diagonal/>
    </border>
    <border>
      <left style="thick">
        <color auto="1"/>
      </left>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ck">
        <color auto="1"/>
      </left>
      <right/>
      <top/>
      <bottom style="thick">
        <color auto="1"/>
      </bottom>
      <diagonal/>
    </border>
    <border>
      <left/>
      <right/>
      <top/>
      <bottom style="thick">
        <color auto="1"/>
      </bottom>
      <diagonal/>
    </border>
    <border>
      <left/>
      <right style="medium">
        <color indexed="64"/>
      </right>
      <top style="medium">
        <color indexed="64"/>
      </top>
      <bottom/>
      <diagonal/>
    </border>
    <border>
      <left/>
      <right style="thick">
        <color auto="1"/>
      </right>
      <top style="thick">
        <color auto="1"/>
      </top>
      <bottom/>
      <diagonal/>
    </border>
    <border>
      <left/>
      <right style="thick">
        <color auto="1"/>
      </right>
      <top/>
      <bottom/>
      <diagonal/>
    </border>
    <border>
      <left/>
      <right style="thick">
        <color auto="1"/>
      </right>
      <top/>
      <bottom style="thick">
        <color auto="1"/>
      </bottom>
      <diagonal/>
    </border>
    <border>
      <left style="thin">
        <color indexed="64"/>
      </left>
      <right/>
      <top style="medium">
        <color indexed="64"/>
      </top>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3" fillId="0" borderId="0" applyNumberFormat="0" applyFill="0" applyBorder="0" applyAlignment="0" applyProtection="0"/>
    <xf numFmtId="0" fontId="10" fillId="0" borderId="33" applyNumberFormat="0" applyFill="0" applyAlignment="0" applyProtection="0"/>
    <xf numFmtId="0" fontId="11" fillId="0" borderId="34" applyNumberFormat="0" applyFill="0" applyAlignment="0" applyProtection="0"/>
    <xf numFmtId="0" fontId="12" fillId="0" borderId="35" applyNumberFormat="0" applyFill="0" applyAlignment="0" applyProtection="0"/>
    <xf numFmtId="0" fontId="12" fillId="0" borderId="0" applyNumberFormat="0" applyFill="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7" borderId="36" applyNumberFormat="0" applyAlignment="0" applyProtection="0"/>
    <xf numFmtId="0" fontId="16" fillId="8" borderId="37" applyNumberFormat="0" applyAlignment="0" applyProtection="0"/>
    <xf numFmtId="0" fontId="17" fillId="8" borderId="36" applyNumberFormat="0" applyAlignment="0" applyProtection="0"/>
    <xf numFmtId="0" fontId="18" fillId="0" borderId="38" applyNumberFormat="0" applyFill="0" applyAlignment="0" applyProtection="0"/>
    <xf numFmtId="0" fontId="19" fillId="9" borderId="39" applyNumberFormat="0" applyAlignment="0" applyProtection="0"/>
    <xf numFmtId="0" fontId="1" fillId="0" borderId="0" applyNumberFormat="0" applyFill="0" applyBorder="0" applyAlignment="0" applyProtection="0"/>
    <xf numFmtId="0" fontId="9" fillId="10" borderId="40" applyNumberFormat="0" applyFont="0" applyAlignment="0" applyProtection="0"/>
    <xf numFmtId="0" fontId="20" fillId="0" borderId="0" applyNumberFormat="0" applyFill="0" applyBorder="0" applyAlignment="0" applyProtection="0"/>
    <xf numFmtId="0" fontId="2" fillId="0" borderId="41" applyNumberFormat="0" applyFill="0" applyAlignment="0" applyProtection="0"/>
    <xf numFmtId="0" fontId="21" fillId="11" borderId="0" applyNumberFormat="0" applyBorder="0" applyAlignment="0" applyProtection="0"/>
    <xf numFmtId="0" fontId="9" fillId="12" borderId="0" applyNumberFormat="0" applyBorder="0" applyAlignment="0" applyProtection="0"/>
    <xf numFmtId="0" fontId="9" fillId="13" borderId="0" applyNumberFormat="0" applyBorder="0" applyAlignment="0" applyProtection="0"/>
    <xf numFmtId="0" fontId="21"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21" fillId="19"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21" fillId="23" borderId="0" applyNumberFormat="0" applyBorder="0" applyAlignment="0" applyProtection="0"/>
    <xf numFmtId="0" fontId="9" fillId="24" borderId="0" applyNumberFormat="0" applyBorder="0" applyAlignment="0" applyProtection="0"/>
    <xf numFmtId="0" fontId="9" fillId="25" borderId="0" applyNumberFormat="0" applyBorder="0" applyAlignment="0" applyProtection="0"/>
    <xf numFmtId="0" fontId="21" fillId="27" borderId="0" applyNumberFormat="0" applyBorder="0" applyAlignment="0" applyProtection="0"/>
    <xf numFmtId="0" fontId="9" fillId="28" borderId="0" applyNumberFormat="0" applyBorder="0" applyAlignment="0" applyProtection="0"/>
    <xf numFmtId="0" fontId="9" fillId="29" borderId="0" applyNumberFormat="0" applyBorder="0" applyAlignment="0" applyProtection="0"/>
    <xf numFmtId="0" fontId="21" fillId="31" borderId="0" applyNumberFormat="0" applyBorder="0" applyAlignment="0" applyProtection="0"/>
    <xf numFmtId="0" fontId="9" fillId="32" borderId="0" applyNumberFormat="0" applyBorder="0" applyAlignment="0" applyProtection="0"/>
    <xf numFmtId="0" fontId="9" fillId="33" borderId="0" applyNumberFormat="0" applyBorder="0" applyAlignment="0" applyProtection="0"/>
    <xf numFmtId="0" fontId="22" fillId="0" borderId="0" applyNumberFormat="0" applyFill="0" applyBorder="0" applyAlignment="0" applyProtection="0"/>
    <xf numFmtId="0" fontId="23" fillId="6" borderId="0" applyNumberFormat="0" applyBorder="0" applyAlignment="0" applyProtection="0"/>
    <xf numFmtId="0" fontId="21" fillId="14" borderId="0" applyNumberFormat="0" applyBorder="0" applyAlignment="0" applyProtection="0"/>
    <xf numFmtId="0" fontId="21" fillId="18" borderId="0" applyNumberFormat="0" applyBorder="0" applyAlignment="0" applyProtection="0"/>
    <xf numFmtId="0" fontId="21" fillId="22" borderId="0" applyNumberFormat="0" applyBorder="0" applyAlignment="0" applyProtection="0"/>
    <xf numFmtId="0" fontId="21" fillId="26" borderId="0" applyNumberFormat="0" applyBorder="0" applyAlignment="0" applyProtection="0"/>
    <xf numFmtId="0" fontId="21" fillId="30" borderId="0" applyNumberFormat="0" applyBorder="0" applyAlignment="0" applyProtection="0"/>
    <xf numFmtId="0" fontId="21" fillId="34" borderId="0" applyNumberFormat="0" applyBorder="0" applyAlignment="0" applyProtection="0"/>
  </cellStyleXfs>
  <cellXfs count="106">
    <xf numFmtId="0" fontId="0" fillId="0" borderId="0" xfId="0"/>
    <xf numFmtId="0" fontId="4" fillId="0" borderId="0" xfId="0" applyFont="1" applyAlignment="1">
      <alignment horizontal="center" vertical="center" wrapText="1"/>
    </xf>
    <xf numFmtId="0" fontId="5" fillId="0" borderId="0" xfId="0" applyFont="1" applyAlignment="1">
      <alignment vertical="center" wrapText="1"/>
    </xf>
    <xf numFmtId="0" fontId="6" fillId="0" borderId="0" xfId="0" applyFont="1" applyAlignment="1">
      <alignment vertical="center" wrapText="1"/>
    </xf>
    <xf numFmtId="0" fontId="3" fillId="0" borderId="0" xfId="1"/>
    <xf numFmtId="0" fontId="6" fillId="0" borderId="0" xfId="0" applyFont="1" applyAlignment="1">
      <alignment horizontal="right" vertical="center" wrapText="1"/>
    </xf>
    <xf numFmtId="0" fontId="5" fillId="0" borderId="0" xfId="0" applyFont="1" applyAlignment="1">
      <alignment horizontal="center" vertical="center" wrapText="1"/>
    </xf>
    <xf numFmtId="0" fontId="6" fillId="0" borderId="0" xfId="0" applyFont="1" applyAlignment="1">
      <alignment horizontal="left" vertical="center" wrapText="1"/>
    </xf>
    <xf numFmtId="0" fontId="3" fillId="0" borderId="0" xfId="1" applyAlignment="1">
      <alignment vertical="center"/>
    </xf>
    <xf numFmtId="0" fontId="8" fillId="0" borderId="0" xfId="0" applyFont="1"/>
    <xf numFmtId="0" fontId="0" fillId="0" borderId="1" xfId="0" applyBorder="1"/>
    <xf numFmtId="0" fontId="0" fillId="0" borderId="1" xfId="0" applyBorder="1" applyAlignment="1">
      <alignment horizontal="center"/>
    </xf>
    <xf numFmtId="0" fontId="0" fillId="0" borderId="3" xfId="0" applyBorder="1"/>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3" xfId="0" quotePrefix="1" applyBorder="1" applyAlignment="1">
      <alignment horizontal="center"/>
    </xf>
    <xf numFmtId="0" fontId="0" fillId="0" borderId="6" xfId="0" applyBorder="1" applyAlignment="1">
      <alignment horizontal="center"/>
    </xf>
    <xf numFmtId="164" fontId="0" fillId="0" borderId="0" xfId="0" applyNumberFormat="1" applyAlignment="1">
      <alignment horizontal="center"/>
    </xf>
    <xf numFmtId="0" fontId="0" fillId="0" borderId="0" xfId="0" applyAlignment="1">
      <alignment horizontal="center"/>
    </xf>
    <xf numFmtId="0" fontId="0" fillId="0" borderId="0" xfId="0" quotePrefix="1" applyAlignment="1">
      <alignment horizontal="center"/>
    </xf>
    <xf numFmtId="0" fontId="0" fillId="0" borderId="8" xfId="0" applyBorder="1"/>
    <xf numFmtId="0" fontId="0" fillId="0" borderId="8" xfId="0" applyBorder="1" applyAlignment="1">
      <alignment horizontal="center"/>
    </xf>
    <xf numFmtId="3" fontId="0" fillId="0" borderId="8" xfId="0" applyNumberFormat="1" applyBorder="1"/>
    <xf numFmtId="0" fontId="0" fillId="0" borderId="9" xfId="0" quotePrefix="1" applyBorder="1" applyAlignment="1">
      <alignment horizontal="center"/>
    </xf>
    <xf numFmtId="0" fontId="1" fillId="0" borderId="0" xfId="0" applyFont="1"/>
    <xf numFmtId="3" fontId="0" fillId="0" borderId="0" xfId="0" applyNumberFormat="1"/>
    <xf numFmtId="0" fontId="0" fillId="0" borderId="1" xfId="0" applyBorder="1" applyAlignment="1">
      <alignment horizontal="center" vertical="center"/>
    </xf>
    <xf numFmtId="3" fontId="0" fillId="0" borderId="10" xfId="0" applyNumberFormat="1" applyBorder="1" applyAlignment="1">
      <alignment horizontal="centerContinuous" vertical="center"/>
    </xf>
    <xf numFmtId="3" fontId="0" fillId="0" borderId="9" xfId="0" applyNumberFormat="1" applyBorder="1" applyAlignment="1">
      <alignment horizontal="centerContinuous" vertical="center"/>
    </xf>
    <xf numFmtId="0" fontId="0" fillId="0" borderId="9" xfId="0" applyBorder="1" applyAlignment="1">
      <alignment horizontal="centerContinuous" vertical="center"/>
    </xf>
    <xf numFmtId="0" fontId="0" fillId="0" borderId="3" xfId="0" applyBorder="1" applyAlignment="1">
      <alignment horizontal="center" vertical="center"/>
    </xf>
    <xf numFmtId="3" fontId="0" fillId="0" borderId="1" xfId="0" applyNumberFormat="1" applyBorder="1" applyAlignment="1">
      <alignment horizontal="center" vertical="center"/>
    </xf>
    <xf numFmtId="3" fontId="0" fillId="0" borderId="3" xfId="0" applyNumberFormat="1" applyBorder="1" applyAlignment="1">
      <alignment horizontal="center" vertical="center"/>
    </xf>
    <xf numFmtId="0" fontId="0" fillId="0" borderId="8" xfId="0" applyBorder="1" applyAlignment="1">
      <alignment vertical="center"/>
    </xf>
    <xf numFmtId="0" fontId="0" fillId="0" borderId="8" xfId="0" applyBorder="1" applyAlignment="1">
      <alignment horizontal="center" vertical="center"/>
    </xf>
    <xf numFmtId="0" fontId="2" fillId="0" borderId="12" xfId="0" applyFont="1" applyBorder="1" applyAlignment="1">
      <alignment horizontal="centerContinuous"/>
    </xf>
    <xf numFmtId="0" fontId="0" fillId="0" borderId="13" xfId="0" applyBorder="1" applyAlignment="1">
      <alignment horizontal="centerContinuous"/>
    </xf>
    <xf numFmtId="0" fontId="0" fillId="0" borderId="14" xfId="0" quotePrefix="1" applyBorder="1" applyAlignment="1">
      <alignment horizontal="right"/>
    </xf>
    <xf numFmtId="0" fontId="0" fillId="2" borderId="0" xfId="0" applyFill="1" applyAlignment="1" applyProtection="1">
      <alignment horizontal="center"/>
      <protection locked="0"/>
    </xf>
    <xf numFmtId="0" fontId="0" fillId="0" borderId="14" xfId="0" applyBorder="1" applyAlignment="1">
      <alignment horizontal="right"/>
    </xf>
    <xf numFmtId="0" fontId="0" fillId="0" borderId="17" xfId="0" applyBorder="1" applyAlignment="1">
      <alignment horizontal="center"/>
    </xf>
    <xf numFmtId="0" fontId="0" fillId="0" borderId="16" xfId="0" applyBorder="1"/>
    <xf numFmtId="1" fontId="0" fillId="0" borderId="14" xfId="0" applyNumberFormat="1" applyBorder="1" applyAlignment="1">
      <alignment horizontal="right"/>
    </xf>
    <xf numFmtId="0" fontId="0" fillId="0" borderId="14" xfId="0" applyBorder="1"/>
    <xf numFmtId="166" fontId="0" fillId="0" borderId="0" xfId="0" applyNumberFormat="1"/>
    <xf numFmtId="3" fontId="0" fillId="0" borderId="21" xfId="0" applyNumberFormat="1" applyBorder="1" applyAlignment="1">
      <alignment horizontal="center"/>
    </xf>
    <xf numFmtId="3" fontId="0" fillId="0" borderId="0" xfId="0" quotePrefix="1" applyNumberFormat="1" applyAlignment="1">
      <alignment horizontal="center"/>
    </xf>
    <xf numFmtId="0" fontId="0" fillId="0" borderId="22" xfId="0" applyBorder="1"/>
    <xf numFmtId="0" fontId="0" fillId="0" borderId="23" xfId="0" applyBorder="1"/>
    <xf numFmtId="0" fontId="0" fillId="0" borderId="16" xfId="0" applyBorder="1" applyAlignment="1">
      <alignment horizontal="center"/>
    </xf>
    <xf numFmtId="0" fontId="0" fillId="0" borderId="20" xfId="0" applyBorder="1"/>
    <xf numFmtId="0" fontId="0" fillId="0" borderId="25" xfId="0" applyBorder="1" applyAlignment="1">
      <alignment horizontal="centerContinuous"/>
    </xf>
    <xf numFmtId="0" fontId="0" fillId="0" borderId="26" xfId="0" applyBorder="1"/>
    <xf numFmtId="3" fontId="0" fillId="0" borderId="26" xfId="0" applyNumberFormat="1" applyBorder="1" applyAlignment="1">
      <alignment horizontal="center"/>
    </xf>
    <xf numFmtId="0" fontId="0" fillId="0" borderId="26" xfId="0" quotePrefix="1" applyBorder="1" applyAlignment="1">
      <alignment horizontal="center"/>
    </xf>
    <xf numFmtId="164" fontId="0" fillId="0" borderId="26" xfId="0" quotePrefix="1" applyNumberFormat="1" applyBorder="1" applyAlignment="1">
      <alignment horizontal="center"/>
    </xf>
    <xf numFmtId="164" fontId="0" fillId="0" borderId="26" xfId="0" applyNumberFormat="1" applyBorder="1" applyAlignment="1">
      <alignment horizontal="center"/>
    </xf>
    <xf numFmtId="3" fontId="0" fillId="0" borderId="26" xfId="0" quotePrefix="1" applyNumberFormat="1" applyBorder="1" applyAlignment="1">
      <alignment horizontal="center"/>
    </xf>
    <xf numFmtId="0" fontId="0" fillId="0" borderId="27" xfId="0" applyBorder="1"/>
    <xf numFmtId="0" fontId="0" fillId="0" borderId="28" xfId="0" applyBorder="1" applyAlignment="1">
      <alignment horizontal="center"/>
    </xf>
    <xf numFmtId="0" fontId="0" fillId="0" borderId="29" xfId="0" applyBorder="1" applyAlignment="1">
      <alignment horizontal="center"/>
    </xf>
    <xf numFmtId="0" fontId="0" fillId="0" borderId="19" xfId="0" applyBorder="1" applyAlignment="1">
      <alignment horizontal="center"/>
    </xf>
    <xf numFmtId="3" fontId="0" fillId="0" borderId="20" xfId="0" applyNumberFormat="1" applyBorder="1" applyAlignment="1">
      <alignment horizontal="center"/>
    </xf>
    <xf numFmtId="0" fontId="0" fillId="0" borderId="30" xfId="0" applyBorder="1" applyAlignment="1">
      <alignment horizontal="centerContinuous"/>
    </xf>
    <xf numFmtId="0" fontId="0" fillId="0" borderId="24" xfId="0" applyBorder="1" applyAlignment="1">
      <alignment horizontal="centerContinuous"/>
    </xf>
    <xf numFmtId="3" fontId="0" fillId="0" borderId="3" xfId="0" applyNumberFormat="1" applyBorder="1" applyAlignment="1">
      <alignment horizontal="center"/>
    </xf>
    <xf numFmtId="3" fontId="0" fillId="0" borderId="8" xfId="0" applyNumberFormat="1" applyBorder="1" applyAlignment="1">
      <alignment horizontal="center"/>
    </xf>
    <xf numFmtId="0" fontId="0" fillId="0" borderId="31" xfId="0" quotePrefix="1" applyBorder="1" applyAlignment="1">
      <alignment horizontal="center"/>
    </xf>
    <xf numFmtId="0" fontId="0" fillId="0" borderId="10" xfId="0" quotePrefix="1" applyBorder="1" applyAlignment="1">
      <alignment horizontal="center"/>
    </xf>
    <xf numFmtId="0" fontId="0" fillId="0" borderId="32" xfId="0" quotePrefix="1" applyBorder="1" applyAlignment="1">
      <alignment horizontal="center"/>
    </xf>
    <xf numFmtId="0" fontId="0" fillId="0" borderId="8" xfId="0" quotePrefix="1" applyBorder="1" applyAlignment="1">
      <alignment horizontal="center"/>
    </xf>
    <xf numFmtId="0" fontId="0" fillId="0" borderId="11" xfId="0" quotePrefix="1" applyBorder="1" applyAlignment="1">
      <alignment horizontal="center"/>
    </xf>
    <xf numFmtId="0" fontId="0" fillId="0" borderId="10" xfId="0" applyBorder="1" applyAlignment="1">
      <alignment horizontal="centerContinuous"/>
    </xf>
    <xf numFmtId="0" fontId="0" fillId="0" borderId="9" xfId="0" applyBorder="1" applyAlignment="1">
      <alignment horizontal="centerContinuous"/>
    </xf>
    <xf numFmtId="0" fontId="0" fillId="0" borderId="11" xfId="0" applyBorder="1" applyAlignment="1">
      <alignment horizontal="centerContinuous"/>
    </xf>
    <xf numFmtId="0" fontId="0" fillId="0" borderId="8" xfId="0" quotePrefix="1"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3" fontId="0" fillId="0" borderId="4" xfId="0" applyNumberFormat="1" applyBorder="1" applyAlignment="1">
      <alignment horizontal="center" vertical="center"/>
    </xf>
    <xf numFmtId="3" fontId="0" fillId="0" borderId="6" xfId="0" applyNumberFormat="1" applyBorder="1"/>
    <xf numFmtId="0" fontId="0" fillId="0" borderId="6" xfId="0" applyBorder="1"/>
    <xf numFmtId="165" fontId="0" fillId="0" borderId="6" xfId="0" applyNumberFormat="1" applyBorder="1"/>
    <xf numFmtId="3" fontId="0" fillId="0" borderId="3" xfId="0" quotePrefix="1" applyNumberFormat="1" applyBorder="1" applyAlignment="1">
      <alignment horizontal="center" vertical="center"/>
    </xf>
    <xf numFmtId="165" fontId="0" fillId="0" borderId="3" xfId="0" applyNumberFormat="1" applyBorder="1" applyAlignment="1">
      <alignment horizontal="center" vertical="center"/>
    </xf>
    <xf numFmtId="3" fontId="0" fillId="0" borderId="8" xfId="0" applyNumberFormat="1" applyBorder="1" applyAlignment="1">
      <alignment horizontal="center" vertical="center"/>
    </xf>
    <xf numFmtId="165" fontId="0" fillId="0" borderId="8" xfId="0" applyNumberFormat="1" applyBorder="1" applyAlignment="1">
      <alignment horizontal="center" vertical="center"/>
    </xf>
    <xf numFmtId="3" fontId="0" fillId="0" borderId="1" xfId="0" applyNumberFormat="1" applyBorder="1" applyAlignment="1">
      <alignment horizontal="center"/>
    </xf>
    <xf numFmtId="3" fontId="0" fillId="0" borderId="1" xfId="0" quotePrefix="1" applyNumberFormat="1" applyBorder="1" applyAlignment="1">
      <alignment horizontal="center" vertical="center"/>
    </xf>
    <xf numFmtId="3" fontId="0" fillId="0" borderId="7" xfId="0" applyNumberFormat="1" applyBorder="1" applyAlignment="1">
      <alignment horizontal="center"/>
    </xf>
    <xf numFmtId="3" fontId="0" fillId="0" borderId="7" xfId="0" quotePrefix="1" applyNumberFormat="1" applyBorder="1" applyAlignment="1">
      <alignment horizontal="center" vertical="center"/>
    </xf>
    <xf numFmtId="0" fontId="0" fillId="0" borderId="0" xfId="0" applyAlignment="1">
      <alignment horizontal="right"/>
    </xf>
    <xf numFmtId="164" fontId="0" fillId="0" borderId="0" xfId="0" applyNumberFormat="1" applyAlignment="1">
      <alignment horizontal="left"/>
    </xf>
    <xf numFmtId="0" fontId="0" fillId="0" borderId="0" xfId="0" quotePrefix="1" applyAlignment="1">
      <alignment horizontal="right"/>
    </xf>
    <xf numFmtId="0" fontId="0" fillId="0" borderId="0" xfId="0" applyAlignment="1">
      <alignment horizontal="left"/>
    </xf>
    <xf numFmtId="3" fontId="0" fillId="0" borderId="0" xfId="0" applyNumberFormat="1" applyAlignment="1">
      <alignment horizontal="center"/>
    </xf>
    <xf numFmtId="3" fontId="0" fillId="0" borderId="11" xfId="0" applyNumberFormat="1" applyBorder="1" applyAlignment="1">
      <alignment horizontal="centerContinuous" vertical="center"/>
    </xf>
    <xf numFmtId="0" fontId="0" fillId="0" borderId="0" xfId="0" applyAlignment="1">
      <alignment wrapText="1"/>
    </xf>
    <xf numFmtId="0" fontId="0" fillId="0" borderId="0" xfId="0" quotePrefix="1" applyAlignment="1" applyProtection="1">
      <alignment horizontal="center"/>
      <protection locked="0"/>
    </xf>
    <xf numFmtId="3" fontId="0" fillId="0" borderId="0" xfId="0" applyNumberFormat="1" applyProtection="1">
      <protection locked="0"/>
    </xf>
    <xf numFmtId="0" fontId="0" fillId="0" borderId="0" xfId="0" applyAlignment="1" applyProtection="1">
      <alignment horizontal="center"/>
      <protection locked="0"/>
    </xf>
    <xf numFmtId="0" fontId="0" fillId="0" borderId="0" xfId="0" applyProtection="1">
      <protection locked="0"/>
    </xf>
    <xf numFmtId="3" fontId="0" fillId="3" borderId="16" xfId="0" applyNumberFormat="1" applyFill="1" applyBorder="1" applyAlignment="1" applyProtection="1">
      <alignment horizontal="center"/>
      <protection locked="0"/>
    </xf>
    <xf numFmtId="3" fontId="0" fillId="3" borderId="18" xfId="0" applyNumberFormat="1" applyFill="1" applyBorder="1" applyAlignment="1" applyProtection="1">
      <alignment horizontal="center"/>
      <protection locked="0"/>
    </xf>
    <xf numFmtId="0" fontId="0" fillId="0" borderId="2" xfId="0" applyBorder="1" applyAlignment="1">
      <alignment horizontal="center"/>
    </xf>
    <xf numFmtId="0" fontId="0" fillId="0" borderId="15" xfId="0" applyBorder="1" applyAlignment="1">
      <alignment horizontal="center"/>
    </xf>
  </cellXfs>
  <cellStyles count="43">
    <cellStyle name="20% - Accent1" xfId="18" builtinId="30" customBuiltin="1"/>
    <cellStyle name="20% - Accent2" xfId="21" builtinId="34" customBuiltin="1"/>
    <cellStyle name="20% - Accent3" xfId="24" builtinId="38" customBuiltin="1"/>
    <cellStyle name="20% - Accent4" xfId="27" builtinId="42" customBuiltin="1"/>
    <cellStyle name="20% - Accent5" xfId="30" builtinId="46" customBuiltin="1"/>
    <cellStyle name="20% - Accent6" xfId="33" builtinId="50" customBuiltin="1"/>
    <cellStyle name="40% - Accent1" xfId="19" builtinId="31" customBuiltin="1"/>
    <cellStyle name="40% - Accent2" xfId="22" builtinId="35" customBuiltin="1"/>
    <cellStyle name="40% - Accent3" xfId="25" builtinId="39" customBuiltin="1"/>
    <cellStyle name="40% - Accent4" xfId="28" builtinId="43" customBuiltin="1"/>
    <cellStyle name="40% - Accent5" xfId="31" builtinId="47" customBuiltin="1"/>
    <cellStyle name="40% - Accent6" xfId="34" builtinId="51" customBuiltin="1"/>
    <cellStyle name="60% - Accent1 2" xfId="37" xr:uid="{02269FB5-E990-40FE-ADA4-D31193E6CF24}"/>
    <cellStyle name="60% - Accent2 2" xfId="38" xr:uid="{73C5C1B2-0D34-44CB-9133-96EA32D44D18}"/>
    <cellStyle name="60% - Accent3 2" xfId="39" xr:uid="{20862D90-B3FA-465E-88F0-4F2F06F60444}"/>
    <cellStyle name="60% - Accent4 2" xfId="40" xr:uid="{AA1B3A5C-8445-48A1-8B0E-2D8DC53EABBA}"/>
    <cellStyle name="60% - Accent5 2" xfId="41" xr:uid="{B9452659-B9CD-4D8E-9CC5-193DE4DE78ED}"/>
    <cellStyle name="60% - Accent6 2" xfId="42" xr:uid="{2E82E3C1-5E14-4655-B1D1-92652FE0E634}"/>
    <cellStyle name="Accent1" xfId="17" builtinId="29" customBuiltin="1"/>
    <cellStyle name="Accent2" xfId="20" builtinId="33" customBuiltin="1"/>
    <cellStyle name="Accent3" xfId="23" builtinId="37" customBuiltin="1"/>
    <cellStyle name="Accent4" xfId="26" builtinId="41" customBuiltin="1"/>
    <cellStyle name="Accent5" xfId="29" builtinId="45" customBuiltin="1"/>
    <cellStyle name="Accent6" xfId="32" builtinId="49" customBuiltin="1"/>
    <cellStyle name="Bad" xfId="7" builtinId="27" customBuiltin="1"/>
    <cellStyle name="Calculation" xfId="10" builtinId="22" customBuiltin="1"/>
    <cellStyle name="Check Cell" xfId="12" builtinId="23" customBuiltin="1"/>
    <cellStyle name="Explanatory Text" xfId="15"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1" builtinId="8"/>
    <cellStyle name="Input" xfId="8" builtinId="20" customBuiltin="1"/>
    <cellStyle name="Linked Cell" xfId="11" builtinId="24" customBuiltin="1"/>
    <cellStyle name="Neutral 2" xfId="36" xr:uid="{10F4882C-4C69-404C-B143-1F16BD45EB13}"/>
    <cellStyle name="Normal" xfId="0" builtinId="0"/>
    <cellStyle name="Note" xfId="14" builtinId="10" customBuiltin="1"/>
    <cellStyle name="Output" xfId="9" builtinId="21" customBuiltin="1"/>
    <cellStyle name="Title 2" xfId="35" xr:uid="{D2B4DFDD-6BFB-4613-923E-EB4226B62BB9}"/>
    <cellStyle name="Total" xfId="16" builtinId="25" customBuiltin="1"/>
    <cellStyle name="Warning Text" xfId="13"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Computations!$O$75</c:f>
          <c:strCache>
            <c:ptCount val="1"/>
            <c:pt idx="0">
              <c:v>Decatur  Total Population, 2010</c:v>
            </c:pt>
          </c:strCache>
        </c:strRef>
      </c:tx>
      <c:layout>
        <c:manualLayout>
          <c:xMode val="edge"/>
          <c:yMode val="edge"/>
          <c:x val="0.21426342636314538"/>
          <c:y val="4.586403403328005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4623109192782979"/>
          <c:y val="0.15450897109752049"/>
          <c:w val="0.77475918635170604"/>
          <c:h val="0.65429636110936273"/>
        </c:manualLayout>
      </c:layout>
      <c:barChart>
        <c:barDir val="bar"/>
        <c:grouping val="stacked"/>
        <c:varyColors val="0"/>
        <c:ser>
          <c:idx val="0"/>
          <c:order val="0"/>
          <c:tx>
            <c:strRef>
              <c:f>Computations!$P$77</c:f>
              <c:strCache>
                <c:ptCount val="1"/>
                <c:pt idx="0">
                  <c:v>Male</c:v>
                </c:pt>
              </c:strCache>
            </c:strRef>
          </c:tx>
          <c:spPr>
            <a:solidFill>
              <a:schemeClr val="accent1"/>
            </a:solidFill>
            <a:ln>
              <a:solidFill>
                <a:schemeClr val="tx1"/>
              </a:solidFill>
            </a:ln>
            <a:effectLst/>
          </c:spPr>
          <c:invertIfNegative val="0"/>
          <c:cat>
            <c:strRef>
              <c:f>Computations!$O$78:$O$86</c:f>
              <c:strCache>
                <c:ptCount val="9"/>
                <c:pt idx="0">
                  <c:v>0-9</c:v>
                </c:pt>
                <c:pt idx="1">
                  <c:v>10-19</c:v>
                </c:pt>
                <c:pt idx="2">
                  <c:v>20-29</c:v>
                </c:pt>
                <c:pt idx="3">
                  <c:v>30-39</c:v>
                </c:pt>
                <c:pt idx="4">
                  <c:v>40-49</c:v>
                </c:pt>
                <c:pt idx="5">
                  <c:v>50-59</c:v>
                </c:pt>
                <c:pt idx="6">
                  <c:v>60-69</c:v>
                </c:pt>
                <c:pt idx="7">
                  <c:v>70-79</c:v>
                </c:pt>
                <c:pt idx="8">
                  <c:v>80+</c:v>
                </c:pt>
              </c:strCache>
            </c:strRef>
          </c:cat>
          <c:val>
            <c:numRef>
              <c:f>Computations!$P$78:$P$86</c:f>
              <c:numCache>
                <c:formatCode>#,##0</c:formatCode>
                <c:ptCount val="9"/>
                <c:pt idx="0">
                  <c:v>-1399</c:v>
                </c:pt>
                <c:pt idx="1">
                  <c:v>-913</c:v>
                </c:pt>
                <c:pt idx="2">
                  <c:v>-835</c:v>
                </c:pt>
                <c:pt idx="3">
                  <c:v>-1485</c:v>
                </c:pt>
                <c:pt idx="4">
                  <c:v>-1538</c:v>
                </c:pt>
                <c:pt idx="5">
                  <c:v>-1106</c:v>
                </c:pt>
                <c:pt idx="6">
                  <c:v>-699</c:v>
                </c:pt>
                <c:pt idx="7">
                  <c:v>-288</c:v>
                </c:pt>
                <c:pt idx="8">
                  <c:v>-168</c:v>
                </c:pt>
              </c:numCache>
            </c:numRef>
          </c:val>
          <c:extLst>
            <c:ext xmlns:c16="http://schemas.microsoft.com/office/drawing/2014/chart" uri="{C3380CC4-5D6E-409C-BE32-E72D297353CC}">
              <c16:uniqueId val="{00000000-F2F0-45F7-88CE-7138F4A498F4}"/>
            </c:ext>
          </c:extLst>
        </c:ser>
        <c:ser>
          <c:idx val="1"/>
          <c:order val="1"/>
          <c:tx>
            <c:strRef>
              <c:f>Computations!$Q$77</c:f>
              <c:strCache>
                <c:ptCount val="1"/>
                <c:pt idx="0">
                  <c:v>Female</c:v>
                </c:pt>
              </c:strCache>
            </c:strRef>
          </c:tx>
          <c:spPr>
            <a:solidFill>
              <a:srgbClr val="FF0000"/>
            </a:solidFill>
            <a:ln>
              <a:solidFill>
                <a:schemeClr val="tx1"/>
              </a:solidFill>
            </a:ln>
            <a:effectLst/>
          </c:spPr>
          <c:invertIfNegative val="0"/>
          <c:cat>
            <c:strRef>
              <c:f>Computations!$O$78:$O$86</c:f>
              <c:strCache>
                <c:ptCount val="9"/>
                <c:pt idx="0">
                  <c:v>0-9</c:v>
                </c:pt>
                <c:pt idx="1">
                  <c:v>10-19</c:v>
                </c:pt>
                <c:pt idx="2">
                  <c:v>20-29</c:v>
                </c:pt>
                <c:pt idx="3">
                  <c:v>30-39</c:v>
                </c:pt>
                <c:pt idx="4">
                  <c:v>40-49</c:v>
                </c:pt>
                <c:pt idx="5">
                  <c:v>50-59</c:v>
                </c:pt>
                <c:pt idx="6">
                  <c:v>60-69</c:v>
                </c:pt>
                <c:pt idx="7">
                  <c:v>70-79</c:v>
                </c:pt>
                <c:pt idx="8">
                  <c:v>80+</c:v>
                </c:pt>
              </c:strCache>
            </c:strRef>
          </c:cat>
          <c:val>
            <c:numRef>
              <c:f>Computations!$Q$78:$Q$86</c:f>
              <c:numCache>
                <c:formatCode>#,##0</c:formatCode>
                <c:ptCount val="9"/>
                <c:pt idx="0">
                  <c:v>1347</c:v>
                </c:pt>
                <c:pt idx="1">
                  <c:v>1190</c:v>
                </c:pt>
                <c:pt idx="2">
                  <c:v>1428</c:v>
                </c:pt>
                <c:pt idx="3">
                  <c:v>1846</c:v>
                </c:pt>
                <c:pt idx="4">
                  <c:v>1759</c:v>
                </c:pt>
                <c:pt idx="5">
                  <c:v>1331</c:v>
                </c:pt>
                <c:pt idx="6">
                  <c:v>967</c:v>
                </c:pt>
                <c:pt idx="7">
                  <c:v>515</c:v>
                </c:pt>
                <c:pt idx="8">
                  <c:v>521</c:v>
                </c:pt>
              </c:numCache>
            </c:numRef>
          </c:val>
          <c:extLst>
            <c:ext xmlns:c16="http://schemas.microsoft.com/office/drawing/2014/chart" uri="{C3380CC4-5D6E-409C-BE32-E72D297353CC}">
              <c16:uniqueId val="{00000001-F2F0-45F7-88CE-7138F4A498F4}"/>
            </c:ext>
          </c:extLst>
        </c:ser>
        <c:dLbls>
          <c:showLegendKey val="0"/>
          <c:showVal val="0"/>
          <c:showCatName val="0"/>
          <c:showSerName val="0"/>
          <c:showPercent val="0"/>
          <c:showBubbleSize val="0"/>
        </c:dLbls>
        <c:gapWidth val="0"/>
        <c:overlap val="100"/>
        <c:axId val="678438448"/>
        <c:axId val="678432544"/>
      </c:barChart>
      <c:catAx>
        <c:axId val="678438448"/>
        <c:scaling>
          <c:orientation val="minMax"/>
        </c:scaling>
        <c:delete val="0"/>
        <c:axPos val="l"/>
        <c:majorGridlines>
          <c:spPr>
            <a:ln w="12700" cap="flat" cmpd="sng" algn="ctr">
              <a:solidFill>
                <a:schemeClr val="bg2">
                  <a:lumMod val="7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50000"/>
                        <a:lumOff val="50000"/>
                      </a:schemeClr>
                    </a:solidFill>
                    <a:latin typeface="+mn-lt"/>
                    <a:ea typeface="+mn-ea"/>
                    <a:cs typeface="+mn-cs"/>
                  </a:defRPr>
                </a:pPr>
                <a:r>
                  <a:rPr lang="en-US" baseline="0">
                    <a:solidFill>
                      <a:schemeClr val="tx1">
                        <a:lumMod val="50000"/>
                        <a:lumOff val="50000"/>
                      </a:schemeClr>
                    </a:solidFill>
                    <a:latin typeface="+mn-lt"/>
                  </a:rPr>
                  <a:t>Age</a:t>
                </a:r>
              </a:p>
              <a:p>
                <a:pPr>
                  <a:defRPr>
                    <a:solidFill>
                      <a:schemeClr val="tx1">
                        <a:lumMod val="50000"/>
                        <a:lumOff val="50000"/>
                      </a:schemeClr>
                    </a:solidFill>
                  </a:defRPr>
                </a:pPr>
                <a:endParaRPr lang="en-US" baseline="0">
                  <a:solidFill>
                    <a:schemeClr val="tx1">
                      <a:lumMod val="50000"/>
                      <a:lumOff val="50000"/>
                    </a:schemeClr>
                  </a:solidFill>
                  <a:latin typeface="+mn-lt"/>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50000"/>
                      <a:lumOff val="50000"/>
                    </a:schemeClr>
                  </a:solidFill>
                  <a:latin typeface="+mn-lt"/>
                  <a:ea typeface="+mn-ea"/>
                  <a:cs typeface="+mn-cs"/>
                </a:defRPr>
              </a:pPr>
              <a:endParaRPr lang="en-US"/>
            </a:p>
          </c:txPr>
        </c:title>
        <c:numFmt formatCode="General" sourceLinked="1"/>
        <c:majorTickMark val="out"/>
        <c:minorTickMark val="none"/>
        <c:tickLblPos val="low"/>
        <c:spPr>
          <a:noFill/>
          <a:ln w="12700"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78432544"/>
        <c:crosses val="autoZero"/>
        <c:auto val="1"/>
        <c:lblAlgn val="ctr"/>
        <c:lblOffset val="100"/>
        <c:noMultiLvlLbl val="0"/>
      </c:catAx>
      <c:valAx>
        <c:axId val="678432544"/>
        <c:scaling>
          <c:orientation val="minMax"/>
        </c:scaling>
        <c:delete val="0"/>
        <c:axPos val="b"/>
        <c:majorGridlines>
          <c:spPr>
            <a:ln w="12700" cap="flat" cmpd="sng" algn="ctr">
              <a:solidFill>
                <a:schemeClr val="bg2">
                  <a:lumMod val="75000"/>
                </a:schemeClr>
              </a:solidFill>
              <a:round/>
            </a:ln>
            <a:effectLst/>
          </c:spPr>
        </c:majorGridlines>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78438448"/>
        <c:crosses val="autoZero"/>
        <c:crossBetween val="between"/>
      </c:valAx>
      <c:spPr>
        <a:noFill/>
        <a:ln w="12700">
          <a:solidFill>
            <a:schemeClr val="bg2">
              <a:lumMod val="50000"/>
            </a:schemeClr>
          </a:solidFill>
        </a:ln>
        <a:effectLst/>
      </c:spPr>
    </c:plotArea>
    <c:legend>
      <c:legendPos val="b"/>
      <c:layout>
        <c:manualLayout>
          <c:xMode val="edge"/>
          <c:yMode val="edge"/>
          <c:x val="0.34108031060504701"/>
          <c:y val="0.87934715204468983"/>
          <c:w val="0.24292797749551229"/>
          <c:h val="6.8388089584591583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2">
          <a:lumMod val="50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Computations!$S$75</c:f>
          <c:strCache>
            <c:ptCount val="1"/>
            <c:pt idx="0">
              <c:v>Decatur  Total Population, 2040</c:v>
            </c:pt>
          </c:strCache>
        </c:strRef>
      </c:tx>
      <c:layout>
        <c:manualLayout>
          <c:xMode val="edge"/>
          <c:yMode val="edge"/>
          <c:x val="0.24614326334208225"/>
          <c:y val="4.8333333333333325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3180210151578023"/>
          <c:y val="0.15363333333333334"/>
          <c:w val="0.78764001049000887"/>
          <c:h val="0.63612204724409449"/>
        </c:manualLayout>
      </c:layout>
      <c:barChart>
        <c:barDir val="bar"/>
        <c:grouping val="stacked"/>
        <c:varyColors val="0"/>
        <c:ser>
          <c:idx val="0"/>
          <c:order val="0"/>
          <c:tx>
            <c:strRef>
              <c:f>Computations!$T$77</c:f>
              <c:strCache>
                <c:ptCount val="1"/>
                <c:pt idx="0">
                  <c:v>Male</c:v>
                </c:pt>
              </c:strCache>
            </c:strRef>
          </c:tx>
          <c:spPr>
            <a:solidFill>
              <a:schemeClr val="accent1"/>
            </a:solidFill>
            <a:ln w="12700">
              <a:solidFill>
                <a:schemeClr val="tx1"/>
              </a:solidFill>
            </a:ln>
            <a:effectLst/>
          </c:spPr>
          <c:invertIfNegative val="0"/>
          <c:cat>
            <c:strRef>
              <c:f>Computations!$S$78:$S$86</c:f>
              <c:strCache>
                <c:ptCount val="9"/>
                <c:pt idx="0">
                  <c:v>0-9</c:v>
                </c:pt>
                <c:pt idx="1">
                  <c:v>10-19</c:v>
                </c:pt>
                <c:pt idx="2">
                  <c:v>20-29</c:v>
                </c:pt>
                <c:pt idx="3">
                  <c:v>30-39</c:v>
                </c:pt>
                <c:pt idx="4">
                  <c:v>40-49</c:v>
                </c:pt>
                <c:pt idx="5">
                  <c:v>50-59</c:v>
                </c:pt>
                <c:pt idx="6">
                  <c:v>60-69</c:v>
                </c:pt>
                <c:pt idx="7">
                  <c:v>70-79</c:v>
                </c:pt>
                <c:pt idx="8">
                  <c:v>80+</c:v>
                </c:pt>
              </c:strCache>
            </c:strRef>
          </c:cat>
          <c:val>
            <c:numRef>
              <c:f>Computations!$T$78:$T$86</c:f>
              <c:numCache>
                <c:formatCode>#,##0</c:formatCode>
                <c:ptCount val="9"/>
                <c:pt idx="0">
                  <c:v>-1422</c:v>
                </c:pt>
                <c:pt idx="1">
                  <c:v>-1182</c:v>
                </c:pt>
                <c:pt idx="2">
                  <c:v>-1055</c:v>
                </c:pt>
                <c:pt idx="3">
                  <c:v>-1648</c:v>
                </c:pt>
                <c:pt idx="4">
                  <c:v>-1104</c:v>
                </c:pt>
                <c:pt idx="5">
                  <c:v>-923</c:v>
                </c:pt>
                <c:pt idx="6">
                  <c:v>-947</c:v>
                </c:pt>
                <c:pt idx="7">
                  <c:v>-818</c:v>
                </c:pt>
                <c:pt idx="8">
                  <c:v>-308</c:v>
                </c:pt>
              </c:numCache>
            </c:numRef>
          </c:val>
          <c:extLst>
            <c:ext xmlns:c16="http://schemas.microsoft.com/office/drawing/2014/chart" uri="{C3380CC4-5D6E-409C-BE32-E72D297353CC}">
              <c16:uniqueId val="{00000000-31FA-497B-A15A-23C4FD824D84}"/>
            </c:ext>
          </c:extLst>
        </c:ser>
        <c:ser>
          <c:idx val="1"/>
          <c:order val="1"/>
          <c:tx>
            <c:strRef>
              <c:f>Computations!$U$77</c:f>
              <c:strCache>
                <c:ptCount val="1"/>
                <c:pt idx="0">
                  <c:v>Female</c:v>
                </c:pt>
              </c:strCache>
            </c:strRef>
          </c:tx>
          <c:spPr>
            <a:solidFill>
              <a:srgbClr val="FF0000"/>
            </a:solidFill>
            <a:ln w="12700">
              <a:solidFill>
                <a:schemeClr val="tx1"/>
              </a:solidFill>
            </a:ln>
            <a:effectLst/>
          </c:spPr>
          <c:invertIfNegative val="0"/>
          <c:cat>
            <c:strRef>
              <c:f>Computations!$S$78:$S$86</c:f>
              <c:strCache>
                <c:ptCount val="9"/>
                <c:pt idx="0">
                  <c:v>0-9</c:v>
                </c:pt>
                <c:pt idx="1">
                  <c:v>10-19</c:v>
                </c:pt>
                <c:pt idx="2">
                  <c:v>20-29</c:v>
                </c:pt>
                <c:pt idx="3">
                  <c:v>30-39</c:v>
                </c:pt>
                <c:pt idx="4">
                  <c:v>40-49</c:v>
                </c:pt>
                <c:pt idx="5">
                  <c:v>50-59</c:v>
                </c:pt>
                <c:pt idx="6">
                  <c:v>60-69</c:v>
                </c:pt>
                <c:pt idx="7">
                  <c:v>70-79</c:v>
                </c:pt>
                <c:pt idx="8">
                  <c:v>80+</c:v>
                </c:pt>
              </c:strCache>
            </c:strRef>
          </c:cat>
          <c:val>
            <c:numRef>
              <c:f>Computations!$U$78:$U$86</c:f>
              <c:numCache>
                <c:formatCode>#,##0</c:formatCode>
                <c:ptCount val="9"/>
                <c:pt idx="0">
                  <c:v>1368</c:v>
                </c:pt>
                <c:pt idx="1">
                  <c:v>1503</c:v>
                </c:pt>
                <c:pt idx="2">
                  <c:v>1740</c:v>
                </c:pt>
                <c:pt idx="3">
                  <c:v>2072</c:v>
                </c:pt>
                <c:pt idx="4">
                  <c:v>1408</c:v>
                </c:pt>
                <c:pt idx="5">
                  <c:v>1231</c:v>
                </c:pt>
                <c:pt idx="6">
                  <c:v>1321</c:v>
                </c:pt>
                <c:pt idx="7">
                  <c:v>1229</c:v>
                </c:pt>
                <c:pt idx="8">
                  <c:v>549.58262971600004</c:v>
                </c:pt>
              </c:numCache>
            </c:numRef>
          </c:val>
          <c:extLst>
            <c:ext xmlns:c16="http://schemas.microsoft.com/office/drawing/2014/chart" uri="{C3380CC4-5D6E-409C-BE32-E72D297353CC}">
              <c16:uniqueId val="{00000001-31FA-497B-A15A-23C4FD824D84}"/>
            </c:ext>
          </c:extLst>
        </c:ser>
        <c:dLbls>
          <c:showLegendKey val="0"/>
          <c:showVal val="0"/>
          <c:showCatName val="0"/>
          <c:showSerName val="0"/>
          <c:showPercent val="0"/>
          <c:showBubbleSize val="0"/>
        </c:dLbls>
        <c:gapWidth val="0"/>
        <c:overlap val="100"/>
        <c:axId val="678447960"/>
        <c:axId val="678444352"/>
      </c:barChart>
      <c:catAx>
        <c:axId val="678447960"/>
        <c:scaling>
          <c:orientation val="minMax"/>
        </c:scaling>
        <c:delete val="0"/>
        <c:axPos val="l"/>
        <c:majorGridlines>
          <c:spPr>
            <a:ln w="12700" cap="flat" cmpd="sng" algn="ctr">
              <a:solidFill>
                <a:schemeClr val="bg2">
                  <a:lumMod val="7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baseline="0"/>
                  <a:t>Age</a:t>
                </a:r>
              </a:p>
              <a:p>
                <a:pPr>
                  <a:defRPr/>
                </a:pPr>
                <a:endParaRPr lang="en-US" baseline="0"/>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low"/>
        <c:spPr>
          <a:noFill/>
          <a:ln w="12700"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78444352"/>
        <c:crosses val="autoZero"/>
        <c:auto val="1"/>
        <c:lblAlgn val="ctr"/>
        <c:lblOffset val="100"/>
        <c:noMultiLvlLbl val="0"/>
      </c:catAx>
      <c:valAx>
        <c:axId val="678444352"/>
        <c:scaling>
          <c:orientation val="minMax"/>
        </c:scaling>
        <c:delete val="0"/>
        <c:axPos val="b"/>
        <c:majorGridlines>
          <c:spPr>
            <a:ln w="12700" cap="flat" cmpd="sng" algn="ctr">
              <a:solidFill>
                <a:schemeClr val="bg2">
                  <a:lumMod val="75000"/>
                </a:schemeClr>
              </a:solidFill>
              <a:round/>
            </a:ln>
            <a:effectLst/>
          </c:spPr>
        </c:majorGridlines>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78447960"/>
        <c:crosses val="autoZero"/>
        <c:crossBetween val="between"/>
      </c:valAx>
      <c:spPr>
        <a:noFill/>
        <a:ln>
          <a:solidFill>
            <a:schemeClr val="bg2">
              <a:lumMod val="75000"/>
            </a:schemeClr>
          </a:solidFill>
        </a:ln>
        <a:effectLst/>
      </c:spPr>
    </c:plotArea>
    <c:legend>
      <c:legendPos val="b"/>
      <c:layout>
        <c:manualLayout>
          <c:xMode val="edge"/>
          <c:yMode val="edge"/>
          <c:x val="0.33189173228346458"/>
          <c:y val="0.86374956255468072"/>
          <c:w val="0.21482045621126306"/>
          <c:h val="5.6250393700787403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bg2">
          <a:lumMod val="50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581027</xdr:colOff>
      <xdr:row>19</xdr:row>
      <xdr:rowOff>180974</xdr:rowOff>
    </xdr:from>
    <xdr:to>
      <xdr:col>8</xdr:col>
      <xdr:colOff>276227</xdr:colOff>
      <xdr:row>43</xdr:row>
      <xdr:rowOff>180974</xdr:rowOff>
    </xdr:to>
    <xdr:graphicFrame macro="">
      <xdr:nvGraphicFramePr>
        <xdr:cNvPr id="2" name="Chart 1">
          <a:extLst>
            <a:ext uri="{FF2B5EF4-FFF2-40B4-BE49-F238E27FC236}">
              <a16:creationId xmlns:a16="http://schemas.microsoft.com/office/drawing/2014/main" id="{15BDE4BA-59BD-47A9-8C75-243E14EAF3A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285749</xdr:colOff>
      <xdr:row>19</xdr:row>
      <xdr:rowOff>171450</xdr:rowOff>
    </xdr:from>
    <xdr:to>
      <xdr:col>16</xdr:col>
      <xdr:colOff>333374</xdr:colOff>
      <xdr:row>43</xdr:row>
      <xdr:rowOff>171450</xdr:rowOff>
    </xdr:to>
    <xdr:graphicFrame macro="">
      <xdr:nvGraphicFramePr>
        <xdr:cNvPr id="3" name="Chart 2">
          <a:extLst>
            <a:ext uri="{FF2B5EF4-FFF2-40B4-BE49-F238E27FC236}">
              <a16:creationId xmlns:a16="http://schemas.microsoft.com/office/drawing/2014/main" id="{97E4927C-58AD-426A-A343-DFDD1055E1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Textbook/Tools/Share/Share_1.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umentation"/>
      <sheetName val="Input"/>
      <sheetName val="Sample Data"/>
      <sheetName val="Computations"/>
      <sheetName val="Output"/>
    </sheetNames>
    <sheetDataSet>
      <sheetData sheetId="0" refreshError="1"/>
      <sheetData sheetId="1" refreshError="1"/>
      <sheetData sheetId="2" refreshError="1"/>
      <sheetData sheetId="3">
        <row r="11">
          <cell r="K11">
            <v>1</v>
          </cell>
        </row>
        <row r="18">
          <cell r="K18" t="b">
            <v>1</v>
          </cell>
        </row>
        <row r="19">
          <cell r="K19" t="b">
            <v>1</v>
          </cell>
        </row>
        <row r="22">
          <cell r="K22" t="str">
            <v>2040</v>
          </cell>
        </row>
      </sheetData>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dick.klosterman@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686BD-B816-4D48-9ECC-A7CEB3354FBB}">
  <dimension ref="A1:B49"/>
  <sheetViews>
    <sheetView workbookViewId="0"/>
  </sheetViews>
  <sheetFormatPr defaultRowHeight="15" x14ac:dyDescent="0.25"/>
  <cols>
    <col min="1" max="1" width="98.140625" customWidth="1"/>
  </cols>
  <sheetData>
    <row r="1" spans="1:2" ht="21" customHeight="1" x14ac:dyDescent="0.25">
      <c r="A1" s="1" t="s">
        <v>7</v>
      </c>
    </row>
    <row r="2" spans="1:2" ht="15.75" x14ac:dyDescent="0.25">
      <c r="A2" s="2"/>
    </row>
    <row r="3" spans="1:2" ht="47.25" x14ac:dyDescent="0.25">
      <c r="A3" s="3" t="s">
        <v>72</v>
      </c>
      <c r="B3" s="4"/>
    </row>
    <row r="4" spans="1:2" ht="15.75" x14ac:dyDescent="0.25">
      <c r="A4" s="3"/>
      <c r="B4" s="4"/>
    </row>
    <row r="5" spans="1:2" ht="47.25" x14ac:dyDescent="0.25">
      <c r="A5" s="3" t="s">
        <v>74</v>
      </c>
      <c r="B5" s="4"/>
    </row>
    <row r="6" spans="1:2" ht="15.75" x14ac:dyDescent="0.25">
      <c r="A6" s="3"/>
      <c r="B6" s="4"/>
    </row>
    <row r="7" spans="1:2" ht="11.25" customHeight="1" x14ac:dyDescent="0.25">
      <c r="A7" s="5" t="s">
        <v>0</v>
      </c>
      <c r="B7" s="4" t="s">
        <v>1</v>
      </c>
    </row>
    <row r="8" spans="1:2" ht="15.75" x14ac:dyDescent="0.25">
      <c r="A8" s="3"/>
    </row>
    <row r="9" spans="1:2" ht="27" customHeight="1" x14ac:dyDescent="0.25">
      <c r="A9" s="5" t="s">
        <v>2</v>
      </c>
      <c r="B9" s="8" t="s">
        <v>3</v>
      </c>
    </row>
    <row r="10" spans="1:2" ht="15.75" x14ac:dyDescent="0.25">
      <c r="A10" s="5"/>
      <c r="B10" s="4"/>
    </row>
    <row r="11" spans="1:2" ht="15.75" customHeight="1" x14ac:dyDescent="0.25">
      <c r="A11" s="6" t="s">
        <v>4</v>
      </c>
    </row>
    <row r="12" spans="1:2" ht="15.75" x14ac:dyDescent="0.25">
      <c r="A12" s="7"/>
    </row>
    <row r="13" spans="1:2" ht="15.75" x14ac:dyDescent="0.25">
      <c r="A13" s="7" t="s">
        <v>8</v>
      </c>
    </row>
    <row r="14" spans="1:2" ht="15.75" x14ac:dyDescent="0.25">
      <c r="A14" s="7"/>
    </row>
    <row r="15" spans="1:2" ht="31.5" x14ac:dyDescent="0.25">
      <c r="A15" s="7" t="s">
        <v>73</v>
      </c>
    </row>
    <row r="16" spans="1:2" ht="15.75" x14ac:dyDescent="0.25">
      <c r="A16" s="7"/>
    </row>
    <row r="17" spans="1:1" ht="12.75" customHeight="1" x14ac:dyDescent="0.25">
      <c r="A17" s="7" t="s">
        <v>61</v>
      </c>
    </row>
    <row r="18" spans="1:1" ht="15.75" x14ac:dyDescent="0.25">
      <c r="A18" s="7"/>
    </row>
    <row r="19" spans="1:1" ht="31.5" x14ac:dyDescent="0.25">
      <c r="A19" s="7" t="s">
        <v>62</v>
      </c>
    </row>
    <row r="20" spans="1:1" ht="15.75" x14ac:dyDescent="0.25">
      <c r="A20" s="7"/>
    </row>
    <row r="21" spans="1:1" ht="31.5" x14ac:dyDescent="0.25">
      <c r="A21" s="7" t="s">
        <v>75</v>
      </c>
    </row>
    <row r="22" spans="1:1" ht="15.75" x14ac:dyDescent="0.25">
      <c r="A22" s="7"/>
    </row>
    <row r="23" spans="1:1" ht="15.75" customHeight="1" x14ac:dyDescent="0.25">
      <c r="A23" s="6" t="s">
        <v>5</v>
      </c>
    </row>
    <row r="24" spans="1:1" ht="15.75" x14ac:dyDescent="0.25">
      <c r="A24" s="7"/>
    </row>
    <row r="25" spans="1:1" ht="51" customHeight="1" x14ac:dyDescent="0.25">
      <c r="A25" s="7" t="s">
        <v>63</v>
      </c>
    </row>
    <row r="26" spans="1:1" ht="15.75" x14ac:dyDescent="0.25">
      <c r="A26" s="7"/>
    </row>
    <row r="27" spans="1:1" ht="17.25" customHeight="1" x14ac:dyDescent="0.25">
      <c r="A27" s="7" t="s">
        <v>6</v>
      </c>
    </row>
    <row r="29" spans="1:1" ht="15.75" x14ac:dyDescent="0.25">
      <c r="A29" s="7" t="s">
        <v>68</v>
      </c>
    </row>
    <row r="30" spans="1:1" ht="15.75" x14ac:dyDescent="0.25">
      <c r="A30" s="7"/>
    </row>
    <row r="31" spans="1:1" ht="15.75" x14ac:dyDescent="0.25">
      <c r="A31" s="7" t="s">
        <v>64</v>
      </c>
    </row>
    <row r="32" spans="1:1" ht="15.75" x14ac:dyDescent="0.25">
      <c r="A32" s="7"/>
    </row>
    <row r="33" spans="1:1" ht="15.75" x14ac:dyDescent="0.25">
      <c r="A33" s="7" t="s">
        <v>76</v>
      </c>
    </row>
    <row r="34" spans="1:1" ht="15.75" x14ac:dyDescent="0.25">
      <c r="A34" s="7"/>
    </row>
    <row r="35" spans="1:1" ht="15.75" x14ac:dyDescent="0.25">
      <c r="A35" s="7" t="s">
        <v>77</v>
      </c>
    </row>
    <row r="36" spans="1:1" ht="15.75" x14ac:dyDescent="0.25">
      <c r="A36" s="7"/>
    </row>
    <row r="37" spans="1:1" ht="15.75" x14ac:dyDescent="0.25">
      <c r="A37" s="7" t="s">
        <v>78</v>
      </c>
    </row>
    <row r="39" spans="1:1" ht="31.5" x14ac:dyDescent="0.25">
      <c r="A39" s="7" t="s">
        <v>69</v>
      </c>
    </row>
    <row r="40" spans="1:1" ht="15.75" x14ac:dyDescent="0.25">
      <c r="A40" s="7"/>
    </row>
    <row r="41" spans="1:1" ht="31.5" x14ac:dyDescent="0.25">
      <c r="A41" s="7" t="s">
        <v>70</v>
      </c>
    </row>
    <row r="42" spans="1:1" ht="15.75" x14ac:dyDescent="0.25">
      <c r="A42" s="7"/>
    </row>
    <row r="43" spans="1:1" ht="15.75" x14ac:dyDescent="0.25">
      <c r="A43" s="6" t="s">
        <v>65</v>
      </c>
    </row>
    <row r="44" spans="1:1" ht="15.75" x14ac:dyDescent="0.25">
      <c r="A44" s="7"/>
    </row>
    <row r="45" spans="1:1" ht="31.5" x14ac:dyDescent="0.25">
      <c r="A45" s="7" t="s">
        <v>66</v>
      </c>
    </row>
    <row r="47" spans="1:1" ht="45" x14ac:dyDescent="0.25">
      <c r="A47" s="97" t="s">
        <v>71</v>
      </c>
    </row>
    <row r="49" spans="1:1" ht="30" x14ac:dyDescent="0.25">
      <c r="A49" s="97" t="s">
        <v>67</v>
      </c>
    </row>
  </sheetData>
  <sheetProtection password="DF21" sheet="1" objects="1" scenarios="1" formatCells="0" formatColumns="0" formatRows="0"/>
  <hyperlinks>
    <hyperlink ref="B9" r:id="rId1" xr:uid="{33B5A088-6EFD-42B0-A764-56905306E3B8}"/>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6C5B2-EAD7-4801-8CF5-7F9A4E520603}">
  <dimension ref="B1:K23"/>
  <sheetViews>
    <sheetView tabSelected="1" workbookViewId="0">
      <selection activeCell="S14" sqref="S14"/>
    </sheetView>
  </sheetViews>
  <sheetFormatPr defaultRowHeight="15" x14ac:dyDescent="0.25"/>
  <cols>
    <col min="2" max="2" width="24.28515625" customWidth="1"/>
    <col min="3" max="3" width="15" customWidth="1"/>
    <col min="7" max="7" width="12.42578125" customWidth="1"/>
    <col min="8" max="8" width="10.7109375" bestFit="1" customWidth="1"/>
    <col min="10" max="10" width="13.42578125" customWidth="1"/>
  </cols>
  <sheetData>
    <row r="1" spans="2:11" ht="15.75" thickBot="1" x14ac:dyDescent="0.3"/>
    <row r="2" spans="2:11" ht="15.75" thickTop="1" x14ac:dyDescent="0.25">
      <c r="B2" s="36" t="s">
        <v>43</v>
      </c>
      <c r="C2" s="37"/>
      <c r="D2" s="37"/>
      <c r="E2" s="37"/>
      <c r="F2" s="37"/>
      <c r="G2" s="37"/>
      <c r="H2" s="37"/>
      <c r="I2" s="37"/>
      <c r="J2" s="37"/>
      <c r="K2" s="52"/>
    </row>
    <row r="3" spans="2:11" x14ac:dyDescent="0.25">
      <c r="B3" s="38"/>
      <c r="K3" s="53"/>
    </row>
    <row r="4" spans="2:11" x14ac:dyDescent="0.25">
      <c r="B4" s="38" t="s">
        <v>38</v>
      </c>
      <c r="C4" t="str">
        <f>IF(target.year&gt;launch.year+50,"Target Year cannon exceed "&amp;launch.year+50,"Hamilton-Perry  Projections: "&amp;study.area&amp;" "&amp;population&amp;" Population, "&amp;target.year)</f>
        <v>Hamilton-Perry  Projections: Decatur  Total Population, 2040</v>
      </c>
      <c r="K4" s="53"/>
    </row>
    <row r="5" spans="2:11" x14ac:dyDescent="0.25">
      <c r="B5" s="38"/>
      <c r="K5" s="53"/>
    </row>
    <row r="6" spans="2:11" x14ac:dyDescent="0.25">
      <c r="B6" s="38"/>
      <c r="E6" t="str">
        <f>study.area&amp;" "&amp;population&amp;" Population"</f>
        <v>Decatur  Total Population</v>
      </c>
      <c r="K6" s="53"/>
    </row>
    <row r="7" spans="2:11" ht="15.75" thickBot="1" x14ac:dyDescent="0.3">
      <c r="B7" s="38"/>
      <c r="K7" s="53"/>
    </row>
    <row r="8" spans="2:11" x14ac:dyDescent="0.25">
      <c r="B8" s="38" t="s">
        <v>44</v>
      </c>
      <c r="C8" s="39" t="s">
        <v>39</v>
      </c>
      <c r="D8" s="26"/>
      <c r="E8" s="105" t="s">
        <v>9</v>
      </c>
      <c r="F8" s="60" t="s">
        <v>10</v>
      </c>
      <c r="G8" s="64">
        <f>base.year</f>
        <v>2000</v>
      </c>
      <c r="H8" s="65"/>
      <c r="I8" s="64">
        <f>launch.year</f>
        <v>2010</v>
      </c>
      <c r="J8" s="65"/>
      <c r="K8" s="54"/>
    </row>
    <row r="9" spans="2:11" x14ac:dyDescent="0.25">
      <c r="B9" s="38" t="s">
        <v>45</v>
      </c>
      <c r="C9" s="39" t="s">
        <v>32</v>
      </c>
      <c r="D9" s="26"/>
      <c r="E9" s="42"/>
      <c r="F9" s="17"/>
      <c r="G9" s="62" t="s">
        <v>36</v>
      </c>
      <c r="H9" s="41" t="s">
        <v>37</v>
      </c>
      <c r="I9" s="62" t="s">
        <v>36</v>
      </c>
      <c r="J9" s="41" t="s">
        <v>37</v>
      </c>
      <c r="K9" s="54"/>
    </row>
    <row r="10" spans="2:11" x14ac:dyDescent="0.25">
      <c r="B10" s="38" t="s">
        <v>40</v>
      </c>
      <c r="C10" s="39">
        <v>2000</v>
      </c>
      <c r="D10" s="26"/>
      <c r="E10" s="68" t="s">
        <v>14</v>
      </c>
      <c r="F10" s="69" t="s">
        <v>15</v>
      </c>
      <c r="G10" s="68" t="s">
        <v>16</v>
      </c>
      <c r="H10" s="70" t="s">
        <v>17</v>
      </c>
      <c r="I10" s="68" t="s">
        <v>18</v>
      </c>
      <c r="J10" s="70" t="s">
        <v>19</v>
      </c>
      <c r="K10" s="55"/>
    </row>
    <row r="11" spans="2:11" x14ac:dyDescent="0.25">
      <c r="B11" s="43" t="s">
        <v>41</v>
      </c>
      <c r="C11" s="39">
        <v>2010</v>
      </c>
      <c r="D11" s="26"/>
      <c r="E11" s="50">
        <v>1</v>
      </c>
      <c r="F11" s="17" t="s">
        <v>23</v>
      </c>
      <c r="G11" s="102">
        <v>1024</v>
      </c>
      <c r="H11" s="103">
        <v>1009</v>
      </c>
      <c r="I11" s="102">
        <v>1399</v>
      </c>
      <c r="J11" s="103">
        <v>1347</v>
      </c>
      <c r="K11" s="56"/>
    </row>
    <row r="12" spans="2:11" x14ac:dyDescent="0.25">
      <c r="B12" s="40" t="s">
        <v>42</v>
      </c>
      <c r="C12" s="39">
        <v>2040</v>
      </c>
      <c r="D12" s="26"/>
      <c r="E12" s="50">
        <v>2</v>
      </c>
      <c r="F12" s="17" t="s">
        <v>24</v>
      </c>
      <c r="G12" s="102">
        <v>915</v>
      </c>
      <c r="H12" s="103">
        <v>1205</v>
      </c>
      <c r="I12" s="102">
        <v>913</v>
      </c>
      <c r="J12" s="103">
        <v>1190</v>
      </c>
      <c r="K12" s="57"/>
    </row>
    <row r="13" spans="2:11" x14ac:dyDescent="0.25">
      <c r="B13" s="44"/>
      <c r="D13" s="26"/>
      <c r="E13" s="50">
        <v>3</v>
      </c>
      <c r="F13" s="17" t="s">
        <v>25</v>
      </c>
      <c r="G13" s="102">
        <v>1026</v>
      </c>
      <c r="H13" s="103">
        <v>1677</v>
      </c>
      <c r="I13" s="102">
        <v>835</v>
      </c>
      <c r="J13" s="103">
        <v>1428</v>
      </c>
      <c r="K13" s="57"/>
    </row>
    <row r="14" spans="2:11" x14ac:dyDescent="0.25">
      <c r="B14" s="40"/>
      <c r="D14" s="26"/>
      <c r="E14" s="50">
        <v>4</v>
      </c>
      <c r="F14" s="17" t="s">
        <v>26</v>
      </c>
      <c r="G14" s="102">
        <v>1681</v>
      </c>
      <c r="H14" s="103">
        <v>1939</v>
      </c>
      <c r="I14" s="102">
        <v>1485</v>
      </c>
      <c r="J14" s="103">
        <v>1846</v>
      </c>
      <c r="K14" s="57"/>
    </row>
    <row r="15" spans="2:11" x14ac:dyDescent="0.25">
      <c r="B15" s="40"/>
      <c r="D15" s="26"/>
      <c r="E15" s="50">
        <v>5</v>
      </c>
      <c r="F15" s="17" t="s">
        <v>27</v>
      </c>
      <c r="G15" s="102">
        <v>1325</v>
      </c>
      <c r="H15" s="103">
        <v>1542</v>
      </c>
      <c r="I15" s="102">
        <v>1538</v>
      </c>
      <c r="J15" s="103">
        <v>1759</v>
      </c>
      <c r="K15" s="57"/>
    </row>
    <row r="16" spans="2:11" x14ac:dyDescent="0.25">
      <c r="B16" s="40"/>
      <c r="D16" s="26"/>
      <c r="E16" s="50">
        <v>6</v>
      </c>
      <c r="F16" s="17" t="s">
        <v>28</v>
      </c>
      <c r="G16" s="102">
        <v>838</v>
      </c>
      <c r="H16" s="103">
        <v>1058</v>
      </c>
      <c r="I16" s="102">
        <v>1106</v>
      </c>
      <c r="J16" s="103">
        <v>1331</v>
      </c>
      <c r="K16" s="57"/>
    </row>
    <row r="17" spans="2:11" x14ac:dyDescent="0.25">
      <c r="B17" s="40"/>
      <c r="D17" s="26"/>
      <c r="E17" s="50">
        <v>7</v>
      </c>
      <c r="F17" s="17" t="s">
        <v>29</v>
      </c>
      <c r="G17" s="102">
        <v>377</v>
      </c>
      <c r="H17" s="103">
        <v>581</v>
      </c>
      <c r="I17" s="102">
        <v>699</v>
      </c>
      <c r="J17" s="103">
        <v>967</v>
      </c>
      <c r="K17" s="57"/>
    </row>
    <row r="18" spans="2:11" x14ac:dyDescent="0.25">
      <c r="B18" s="40"/>
      <c r="D18" s="26"/>
      <c r="E18" s="50">
        <v>8</v>
      </c>
      <c r="F18" s="17" t="s">
        <v>30</v>
      </c>
      <c r="G18" s="102">
        <v>287</v>
      </c>
      <c r="H18" s="103">
        <v>727</v>
      </c>
      <c r="I18" s="102">
        <v>288</v>
      </c>
      <c r="J18" s="103">
        <v>515</v>
      </c>
      <c r="K18" s="57"/>
    </row>
    <row r="19" spans="2:11" x14ac:dyDescent="0.25">
      <c r="B19" s="40"/>
      <c r="C19" s="45"/>
      <c r="D19" s="26"/>
      <c r="E19" s="50">
        <v>9</v>
      </c>
      <c r="F19" s="17" t="s">
        <v>31</v>
      </c>
      <c r="G19" s="102">
        <v>221</v>
      </c>
      <c r="H19" s="103">
        <v>715</v>
      </c>
      <c r="I19" s="102">
        <v>168</v>
      </c>
      <c r="J19" s="103">
        <v>521</v>
      </c>
      <c r="K19" s="57"/>
    </row>
    <row r="20" spans="2:11" ht="15.75" thickBot="1" x14ac:dyDescent="0.3">
      <c r="B20" s="44"/>
      <c r="D20" s="26"/>
      <c r="E20" s="51"/>
      <c r="F20" s="61" t="s">
        <v>32</v>
      </c>
      <c r="G20" s="63">
        <f>SUM(G11:G19)</f>
        <v>7694</v>
      </c>
      <c r="H20" s="46">
        <f t="shared" ref="H20:J20" si="0">SUM(H11:H19)</f>
        <v>10453</v>
      </c>
      <c r="I20" s="63">
        <f t="shared" si="0"/>
        <v>8431</v>
      </c>
      <c r="J20" s="46">
        <f t="shared" si="0"/>
        <v>10904</v>
      </c>
      <c r="K20" s="57"/>
    </row>
    <row r="21" spans="2:11" x14ac:dyDescent="0.25">
      <c r="B21" s="44"/>
      <c r="D21" s="26"/>
      <c r="H21" s="47"/>
      <c r="I21" s="47"/>
      <c r="J21" s="47"/>
      <c r="K21" s="58"/>
    </row>
    <row r="22" spans="2:11" ht="15.75" thickBot="1" x14ac:dyDescent="0.3">
      <c r="B22" s="48"/>
      <c r="C22" s="49"/>
      <c r="D22" s="49"/>
      <c r="E22" s="49"/>
      <c r="F22" s="49"/>
      <c r="G22" s="49"/>
      <c r="H22" s="49"/>
      <c r="I22" s="49"/>
      <c r="J22" s="49"/>
      <c r="K22" s="59"/>
    </row>
    <row r="23" spans="2:11" ht="15.75" thickTop="1" x14ac:dyDescent="0.25"/>
  </sheetData>
  <sheetProtection password="DF21" sheet="1" objects="1" scenarios="1" formatCells="0" formatColumns="0" formatRows="0"/>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16B94-3D68-4DC8-A152-C15771F656A9}">
  <dimension ref="B1:U87"/>
  <sheetViews>
    <sheetView workbookViewId="0"/>
  </sheetViews>
  <sheetFormatPr defaultRowHeight="15" x14ac:dyDescent="0.25"/>
  <cols>
    <col min="3" max="3" width="11.7109375" bestFit="1" customWidth="1"/>
    <col min="4" max="5" width="11.42578125" bestFit="1" customWidth="1"/>
    <col min="6" max="6" width="11.42578125" customWidth="1"/>
    <col min="7" max="9" width="11.42578125" bestFit="1" customWidth="1"/>
    <col min="10" max="10" width="10.7109375" bestFit="1" customWidth="1"/>
    <col min="11" max="11" width="11.28515625" customWidth="1"/>
  </cols>
  <sheetData>
    <row r="1" spans="2:15" x14ac:dyDescent="0.25">
      <c r="B1" t="str">
        <f>"Hamilton-Perry  Projections: "&amp;study.area&amp;" "&amp;population&amp;" Female Population, "&amp;launch.year+10&amp;"-"&amp;launch.year+50</f>
        <v>Hamilton-Perry  Projections: Decatur  Total Female Population, 2020-2060</v>
      </c>
    </row>
    <row r="3" spans="2:15" x14ac:dyDescent="0.25">
      <c r="B3" s="10" t="s">
        <v>9</v>
      </c>
      <c r="C3" s="11" t="s">
        <v>10</v>
      </c>
      <c r="D3" s="104" t="s">
        <v>11</v>
      </c>
      <c r="E3" s="104"/>
      <c r="F3" s="11" t="s">
        <v>12</v>
      </c>
      <c r="G3" s="73" t="s">
        <v>11</v>
      </c>
      <c r="H3" s="74"/>
      <c r="I3" s="74"/>
      <c r="J3" s="74"/>
      <c r="K3" s="75"/>
      <c r="N3" t="s">
        <v>46</v>
      </c>
      <c r="O3" t="b">
        <f>target.year=launch.year+10</f>
        <v>0</v>
      </c>
    </row>
    <row r="4" spans="2:15" x14ac:dyDescent="0.25">
      <c r="B4" s="12"/>
      <c r="C4" s="13"/>
      <c r="D4" s="11">
        <f>base.year</f>
        <v>2000</v>
      </c>
      <c r="E4" s="14">
        <f>launch.year</f>
        <v>2010</v>
      </c>
      <c r="F4" s="13" t="s">
        <v>13</v>
      </c>
      <c r="G4" s="15">
        <f>launch.year+10</f>
        <v>2020</v>
      </c>
      <c r="H4" s="11">
        <f>launch.year+20</f>
        <v>2030</v>
      </c>
      <c r="I4" s="11">
        <f>launch.year+30</f>
        <v>2040</v>
      </c>
      <c r="J4" s="11">
        <f>launch.year+40</f>
        <v>2050</v>
      </c>
      <c r="K4" s="11">
        <f>launch.year+50</f>
        <v>2060</v>
      </c>
      <c r="N4" t="s">
        <v>47</v>
      </c>
      <c r="O4" t="b">
        <f>target.year=launch.year+20</f>
        <v>0</v>
      </c>
    </row>
    <row r="5" spans="2:15" x14ac:dyDescent="0.25">
      <c r="B5" s="16" t="s">
        <v>52</v>
      </c>
      <c r="C5" s="13"/>
      <c r="D5" s="13" t="str">
        <f>"PF{n}^"&amp;base.year</f>
        <v>PF{n}^2000</v>
      </c>
      <c r="E5" s="13" t="str">
        <f>"PF{n}^"&amp;launch.year</f>
        <v>PF{n}^2010</v>
      </c>
      <c r="F5" s="13"/>
      <c r="G5" s="13" t="str">
        <f>"PF{n}^"&amp;launch.year+10</f>
        <v>PF{n}^2020</v>
      </c>
      <c r="H5" s="13" t="str">
        <f>"PF{n}^"&amp;launch.year+20</f>
        <v>PF{n}^2030</v>
      </c>
      <c r="I5" s="13" t="str">
        <f>"PF{n}^"&amp;launch.year+30</f>
        <v>PF{n}^2040</v>
      </c>
      <c r="J5" s="13" t="str">
        <f>"PF{n}^"&amp;launch.year+40</f>
        <v>PF{n}^2050</v>
      </c>
      <c r="K5" s="13" t="str">
        <f>"PF{n}^"&amp;launch.year+50</f>
        <v>PF{n}^2060</v>
      </c>
      <c r="N5" t="s">
        <v>48</v>
      </c>
      <c r="O5" t="b">
        <f>target.year=launch.year+30</f>
        <v>1</v>
      </c>
    </row>
    <row r="6" spans="2:15" x14ac:dyDescent="0.25">
      <c r="B6" s="71" t="s">
        <v>14</v>
      </c>
      <c r="C6" s="71" t="s">
        <v>15</v>
      </c>
      <c r="D6" s="71" t="s">
        <v>16</v>
      </c>
      <c r="E6" s="69" t="s">
        <v>17</v>
      </c>
      <c r="F6" s="71" t="s">
        <v>18</v>
      </c>
      <c r="G6" s="72" t="s">
        <v>19</v>
      </c>
      <c r="H6" s="71" t="s">
        <v>20</v>
      </c>
      <c r="I6" s="71" t="s">
        <v>21</v>
      </c>
      <c r="J6" s="71" t="s">
        <v>34</v>
      </c>
      <c r="K6" s="71" t="s">
        <v>35</v>
      </c>
      <c r="N6" t="s">
        <v>49</v>
      </c>
      <c r="O6" t="b">
        <f>target.year=launch.year+40</f>
        <v>0</v>
      </c>
    </row>
    <row r="7" spans="2:15" x14ac:dyDescent="0.25">
      <c r="B7" s="16">
        <v>0</v>
      </c>
      <c r="C7" s="16" t="s">
        <v>22</v>
      </c>
      <c r="D7" s="16" t="s">
        <v>22</v>
      </c>
      <c r="E7" s="16" t="s">
        <v>22</v>
      </c>
      <c r="F7" s="18">
        <f>ROUND(E8/(D9+D10+D11),3)</f>
        <v>0.27900000000000003</v>
      </c>
      <c r="G7" s="16" t="s">
        <v>22</v>
      </c>
      <c r="H7" s="16" t="s">
        <v>22</v>
      </c>
      <c r="I7" s="16" t="s">
        <v>22</v>
      </c>
      <c r="J7" s="16" t="s">
        <v>22</v>
      </c>
      <c r="K7" s="16" t="s">
        <v>22</v>
      </c>
      <c r="N7" t="s">
        <v>50</v>
      </c>
      <c r="O7" t="b">
        <f>target.year=launch.year+50</f>
        <v>0</v>
      </c>
    </row>
    <row r="8" spans="2:15" x14ac:dyDescent="0.25">
      <c r="B8" s="13">
        <v>1</v>
      </c>
      <c r="C8" s="13" t="s">
        <v>23</v>
      </c>
      <c r="D8" s="66">
        <f>Input!$H11</f>
        <v>1009</v>
      </c>
      <c r="E8" s="66">
        <f>Input!$J11</f>
        <v>1347</v>
      </c>
      <c r="F8" s="18">
        <f t="shared" ref="F8:F14" si="0">ROUND(E9/D8,3)</f>
        <v>1.179</v>
      </c>
      <c r="G8" s="66">
        <f>ROUND($F$7*(E9+E10+E11),0)</f>
        <v>1245</v>
      </c>
      <c r="H8" s="66">
        <f>ROUND($F$7*(G9+G10+G11),0)</f>
        <v>1275</v>
      </c>
      <c r="I8" s="66">
        <f>ROUND($F$7*(H9+H10+H11),0)</f>
        <v>1368</v>
      </c>
      <c r="J8" s="66">
        <f>ROUND($F$7*(I9+I10+I11),0)</f>
        <v>1483</v>
      </c>
      <c r="K8" s="66">
        <f>ROUND($F$7*(J9+J10+J11),0)</f>
        <v>1481</v>
      </c>
    </row>
    <row r="9" spans="2:15" x14ac:dyDescent="0.25">
      <c r="B9" s="13">
        <v>2</v>
      </c>
      <c r="C9" s="13" t="s">
        <v>24</v>
      </c>
      <c r="D9" s="66">
        <f>Input!$H12</f>
        <v>1205</v>
      </c>
      <c r="E9" s="66">
        <f>Input!$J12</f>
        <v>1190</v>
      </c>
      <c r="F9" s="18">
        <f t="shared" si="0"/>
        <v>1.1850000000000001</v>
      </c>
      <c r="G9" s="66">
        <f t="shared" ref="G9:G15" si="1">ROUND(E8*F8,0)</f>
        <v>1588</v>
      </c>
      <c r="H9" s="66">
        <f>ROUND($F$8*G8,0)</f>
        <v>1468</v>
      </c>
      <c r="I9" s="66">
        <f>ROUND($F$8*H8,0)</f>
        <v>1503</v>
      </c>
      <c r="J9" s="66">
        <f>ROUND($F$8*I8,0)</f>
        <v>1613</v>
      </c>
      <c r="K9" s="66">
        <f>ROUND($F$8*J8,0)</f>
        <v>1748</v>
      </c>
    </row>
    <row r="10" spans="2:15" x14ac:dyDescent="0.25">
      <c r="B10" s="13">
        <v>3</v>
      </c>
      <c r="C10" s="13" t="s">
        <v>25</v>
      </c>
      <c r="D10" s="66">
        <f>Input!$H13</f>
        <v>1677</v>
      </c>
      <c r="E10" s="66">
        <f>Input!$J13</f>
        <v>1428</v>
      </c>
      <c r="F10" s="18">
        <f t="shared" si="0"/>
        <v>1.101</v>
      </c>
      <c r="G10" s="66">
        <f t="shared" si="1"/>
        <v>1410</v>
      </c>
      <c r="H10" s="66">
        <f>ROUND($F$9*G9,0)</f>
        <v>1882</v>
      </c>
      <c r="I10" s="66">
        <f>ROUND($F$9*H9,0)</f>
        <v>1740</v>
      </c>
      <c r="J10" s="66">
        <f>ROUND($F$9*I9,0)</f>
        <v>1781</v>
      </c>
      <c r="K10" s="66">
        <f>ROUND($F$9*J9,0)</f>
        <v>1911</v>
      </c>
    </row>
    <row r="11" spans="2:15" x14ac:dyDescent="0.25">
      <c r="B11" s="13">
        <v>4</v>
      </c>
      <c r="C11" s="13" t="s">
        <v>26</v>
      </c>
      <c r="D11" s="66">
        <f>Input!$H14</f>
        <v>1939</v>
      </c>
      <c r="E11" s="66">
        <f>Input!$J14</f>
        <v>1846</v>
      </c>
      <c r="F11" s="18">
        <f t="shared" si="0"/>
        <v>0.90700000000000003</v>
      </c>
      <c r="G11" s="66">
        <f t="shared" si="1"/>
        <v>1572</v>
      </c>
      <c r="H11" s="66">
        <f>ROUND($F$10*G10,0)</f>
        <v>1552</v>
      </c>
      <c r="I11" s="66">
        <f>ROUND($F$10*H10,0)</f>
        <v>2072</v>
      </c>
      <c r="J11" s="66">
        <f>ROUND($F$10*I10,0)</f>
        <v>1916</v>
      </c>
      <c r="K11" s="66">
        <f>ROUND($F$10*J10,0)</f>
        <v>1961</v>
      </c>
    </row>
    <row r="12" spans="2:15" x14ac:dyDescent="0.25">
      <c r="B12" s="13">
        <v>5</v>
      </c>
      <c r="C12" s="13" t="s">
        <v>27</v>
      </c>
      <c r="D12" s="66">
        <f>Input!$H15</f>
        <v>1542</v>
      </c>
      <c r="E12" s="66">
        <f>Input!$J15</f>
        <v>1759</v>
      </c>
      <c r="F12" s="18">
        <f t="shared" si="0"/>
        <v>0.86299999999999999</v>
      </c>
      <c r="G12" s="66">
        <f t="shared" si="1"/>
        <v>1674</v>
      </c>
      <c r="H12" s="66">
        <f>ROUND($F$11*G11,0)</f>
        <v>1426</v>
      </c>
      <c r="I12" s="66">
        <f>ROUND($F$11*H11,0)</f>
        <v>1408</v>
      </c>
      <c r="J12" s="66">
        <f>ROUND($F$11*I11,0)</f>
        <v>1879</v>
      </c>
      <c r="K12" s="66">
        <f>ROUND($F$11*J11,0)</f>
        <v>1738</v>
      </c>
    </row>
    <row r="13" spans="2:15" x14ac:dyDescent="0.25">
      <c r="B13" s="13">
        <v>6</v>
      </c>
      <c r="C13" s="13" t="s">
        <v>28</v>
      </c>
      <c r="D13" s="66">
        <f>Input!$H16</f>
        <v>1058</v>
      </c>
      <c r="E13" s="66">
        <f>Input!$J16</f>
        <v>1331</v>
      </c>
      <c r="F13" s="18">
        <f t="shared" si="0"/>
        <v>0.91400000000000003</v>
      </c>
      <c r="G13" s="66">
        <f t="shared" si="1"/>
        <v>1518</v>
      </c>
      <c r="H13" s="66">
        <f>ROUND($F$12*G12,0)</f>
        <v>1445</v>
      </c>
      <c r="I13" s="66">
        <f>ROUND($F$12*H12,0)</f>
        <v>1231</v>
      </c>
      <c r="J13" s="66">
        <f>ROUND($F$12*I12,0)</f>
        <v>1215</v>
      </c>
      <c r="K13" s="66">
        <f>ROUND($F$12*J12,0)</f>
        <v>1622</v>
      </c>
    </row>
    <row r="14" spans="2:15" x14ac:dyDescent="0.25">
      <c r="B14" s="13">
        <v>7</v>
      </c>
      <c r="C14" s="13" t="s">
        <v>29</v>
      </c>
      <c r="D14" s="66">
        <f>Input!$H17</f>
        <v>581</v>
      </c>
      <c r="E14" s="66">
        <f>Input!$J17</f>
        <v>967</v>
      </c>
      <c r="F14" s="18">
        <f t="shared" si="0"/>
        <v>0.88600000000000001</v>
      </c>
      <c r="G14" s="66">
        <f t="shared" si="1"/>
        <v>1217</v>
      </c>
      <c r="H14" s="66">
        <f>ROUND($F$13*G13,0)</f>
        <v>1387</v>
      </c>
      <c r="I14" s="66">
        <f>ROUND($F$13*H13,0)</f>
        <v>1321</v>
      </c>
      <c r="J14" s="66">
        <f>ROUND($F$13*I13,0)</f>
        <v>1125</v>
      </c>
      <c r="K14" s="66">
        <f>ROUND($F$13*J13,0)</f>
        <v>1111</v>
      </c>
    </row>
    <row r="15" spans="2:15" x14ac:dyDescent="0.25">
      <c r="B15" s="13">
        <v>8</v>
      </c>
      <c r="C15" s="13" t="s">
        <v>30</v>
      </c>
      <c r="D15" s="66">
        <f>Input!$H18</f>
        <v>727</v>
      </c>
      <c r="E15" s="66">
        <f>Input!$J18</f>
        <v>515</v>
      </c>
      <c r="F15" s="19">
        <f>ROUND(E16/(D15+D16),3)</f>
        <v>0.36099999999999999</v>
      </c>
      <c r="G15" s="66">
        <f t="shared" si="1"/>
        <v>857</v>
      </c>
      <c r="H15" s="66">
        <f>ROUND($F$14*G14,0)</f>
        <v>1078</v>
      </c>
      <c r="I15" s="66">
        <f>ROUND($F$14*H14,0)</f>
        <v>1229</v>
      </c>
      <c r="J15" s="66">
        <f>ROUND($F$14*I14,0)</f>
        <v>1170</v>
      </c>
      <c r="K15" s="66">
        <f>ROUND($F$14*J14,0)</f>
        <v>997</v>
      </c>
    </row>
    <row r="16" spans="2:15" x14ac:dyDescent="0.25">
      <c r="B16" s="13">
        <v>9</v>
      </c>
      <c r="C16" s="13" t="s">
        <v>31</v>
      </c>
      <c r="D16" s="66">
        <f>Input!$H19</f>
        <v>715</v>
      </c>
      <c r="E16" s="66">
        <f>Input!$J19</f>
        <v>521</v>
      </c>
      <c r="F16" s="20" t="s">
        <v>22</v>
      </c>
      <c r="G16" s="66">
        <f>F15*(E15+E16)</f>
        <v>373.99599999999998</v>
      </c>
      <c r="H16" s="66">
        <f>$F$15*(G15+G16)</f>
        <v>444.38955600000003</v>
      </c>
      <c r="I16" s="66">
        <f>$F$15*(H15+H16)</f>
        <v>549.58262971600004</v>
      </c>
      <c r="J16" s="66">
        <f>$F$15*(I15+I16)</f>
        <v>642.06832932747602</v>
      </c>
      <c r="K16" s="66">
        <f>$F$15*(J15+J16)</f>
        <v>654.15666688721888</v>
      </c>
    </row>
    <row r="17" spans="2:11" x14ac:dyDescent="0.25">
      <c r="B17" s="21"/>
      <c r="C17" s="22" t="s">
        <v>32</v>
      </c>
      <c r="D17" s="67">
        <f>SUM(D8:D16)</f>
        <v>10453</v>
      </c>
      <c r="E17" s="67">
        <f>SUM(E8:E16)</f>
        <v>10904</v>
      </c>
      <c r="F17" s="24" t="s">
        <v>22</v>
      </c>
      <c r="G17" s="67">
        <f t="shared" ref="G17:K17" si="2">SUM(G8:G16)</f>
        <v>11454.995999999999</v>
      </c>
      <c r="H17" s="67">
        <f t="shared" si="2"/>
        <v>11957.389556</v>
      </c>
      <c r="I17" s="67">
        <f t="shared" si="2"/>
        <v>12421.582629716</v>
      </c>
      <c r="J17" s="67">
        <f t="shared" si="2"/>
        <v>12824.068329327476</v>
      </c>
      <c r="K17" s="67">
        <f t="shared" si="2"/>
        <v>13223.156666887218</v>
      </c>
    </row>
    <row r="18" spans="2:11" x14ac:dyDescent="0.25">
      <c r="C18" s="19"/>
      <c r="D18" s="95"/>
      <c r="E18" s="95"/>
      <c r="F18" s="20"/>
      <c r="G18" s="95"/>
      <c r="H18" s="95"/>
      <c r="I18" s="95"/>
      <c r="J18" s="95"/>
      <c r="K18" s="95"/>
    </row>
    <row r="20" spans="2:11" x14ac:dyDescent="0.25">
      <c r="C20" s="91" t="s">
        <v>57</v>
      </c>
      <c r="D20" t="str">
        <f>"PF{2}^"&amp;launch.year&amp;" / "&amp;"PF{1}^"&amp;base.year</f>
        <v>PF{2}^2010 / PF{1}^2000</v>
      </c>
      <c r="H20" s="91" t="s">
        <v>59</v>
      </c>
      <c r="I20" t="str">
        <f>"PF{9}^"&amp;launch.year&amp;" / ( PF{8}^"&amp;base.year&amp;" + PF{9}^"&amp;base.year&amp;" )"</f>
        <v>PF{9}^2010 / ( PF{8}^2000 + PF{9}^2000 )</v>
      </c>
    </row>
    <row r="21" spans="2:11" x14ac:dyDescent="0.25">
      <c r="C21" s="93" t="s">
        <v>53</v>
      </c>
      <c r="D21" t="str">
        <f>TEXT(E9,"#,###")&amp;" / "&amp;TEXT(D8,"#,###")</f>
        <v>1,190 / 1,009</v>
      </c>
      <c r="H21" s="93" t="s">
        <v>53</v>
      </c>
      <c r="I21" t="str">
        <f>TEXT(E16,"#,###")&amp;" / ( "&amp;TEXT(D15,"#,###")&amp;" + "&amp;TEXT(D16,"#,###")&amp;" )"</f>
        <v>521 / ( 727 + 715 )</v>
      </c>
    </row>
    <row r="22" spans="2:11" x14ac:dyDescent="0.25">
      <c r="C22" s="93" t="s">
        <v>53</v>
      </c>
      <c r="D22" s="92">
        <f>ROUND(E9/D8,3)</f>
        <v>1.179</v>
      </c>
      <c r="H22" s="93" t="s">
        <v>53</v>
      </c>
      <c r="I22" s="92">
        <f>ROUND(E16/(D15+D16),3)</f>
        <v>0.36099999999999999</v>
      </c>
    </row>
    <row r="24" spans="2:11" x14ac:dyDescent="0.25">
      <c r="C24" s="91" t="str">
        <f>"PF{2}^"&amp;launch.year&amp;" ="</f>
        <v>PF{2}^2010 =</v>
      </c>
      <c r="D24" t="str">
        <f>"PF{1}^"&amp;launch.year&amp;" X CCRF{1,2}"</f>
        <v>PF{1}^2010 X CCRF{1,2}</v>
      </c>
      <c r="H24" s="91" t="str">
        <f>"PF{9}^"&amp;launch.year&amp;" ="</f>
        <v>PF{9}^2010 =</v>
      </c>
      <c r="I24" t="str">
        <f>"CCRF{8+9,9} X ( PF{8}^"&amp;launch.year&amp;" + PF{9}^"&amp;launch.year&amp;" )"</f>
        <v>CCRF{8+9,9} X ( PF{8}^2010 + PF{9}^2010 )</v>
      </c>
    </row>
    <row r="25" spans="2:11" x14ac:dyDescent="0.25">
      <c r="C25" s="93" t="s">
        <v>53</v>
      </c>
      <c r="D25" t="str">
        <f>TEXT(E8,"#,###")&amp;" X "&amp;D22</f>
        <v>1,347 X 1.179</v>
      </c>
      <c r="H25" s="93" t="s">
        <v>53</v>
      </c>
      <c r="I25" t="str">
        <f>I22&amp;" X ("&amp;TEXT(E15,"#,###")&amp;" + "&amp;TEXT(E16,"#,###")&amp;" )"</f>
        <v>0.361 X (515 + 521 )</v>
      </c>
    </row>
    <row r="26" spans="2:11" x14ac:dyDescent="0.25">
      <c r="C26" s="93" t="s">
        <v>53</v>
      </c>
      <c r="D26" s="94" t="str">
        <f>TEXT(E8*F8,"#,###")</f>
        <v>1,588</v>
      </c>
      <c r="H26" s="93" t="s">
        <v>53</v>
      </c>
      <c r="I26" s="94" t="str">
        <f>TEXT(F15*(E15+E16),"#,###")</f>
        <v>374</v>
      </c>
    </row>
    <row r="27" spans="2:11" x14ac:dyDescent="0.25">
      <c r="G27" s="91"/>
    </row>
    <row r="28" spans="2:11" x14ac:dyDescent="0.25">
      <c r="C28" s="91" t="s">
        <v>54</v>
      </c>
      <c r="D28" t="str">
        <f>"PF{1}^"&amp;launch.year&amp;" / (PF{2}^"&amp;base.year&amp;" + PF{3}^"&amp;base.year&amp;" + PF{4)^"&amp;base.year&amp;")"</f>
        <v>PF{1}^2010 / (PF{2}^2000 + PF{3}^2000 + PF{4)^2000)</v>
      </c>
    </row>
    <row r="29" spans="2:11" x14ac:dyDescent="0.25">
      <c r="C29" s="91" t="s">
        <v>53</v>
      </c>
      <c r="D29" t="str">
        <f>TEXT(E8,"#,###")&amp;" / ( "&amp;TEXT(D9,"#,###")&amp;" + "&amp;TEXT(D10,"#,###")&amp;" + "&amp;TEXT(D11,"#,###")&amp;" )"</f>
        <v>1,347 / ( 1,205 + 1,677 + 1,939 )</v>
      </c>
    </row>
    <row r="30" spans="2:11" x14ac:dyDescent="0.25">
      <c r="C30" s="91" t="s">
        <v>53</v>
      </c>
      <c r="D30" s="94">
        <f>ROUND(E8/(D9+D10+D11),3)</f>
        <v>0.27900000000000003</v>
      </c>
    </row>
    <row r="31" spans="2:11" x14ac:dyDescent="0.25">
      <c r="C31" s="91"/>
    </row>
    <row r="32" spans="2:11" x14ac:dyDescent="0.25">
      <c r="C32" s="91" t="str">
        <f>"PF{1}^"&amp;launch.year+10&amp;" ="</f>
        <v>PF{1}^2020 =</v>
      </c>
      <c r="D32" t="str">
        <f>"( PF{2}^"&amp;launch.year&amp;" + PF{3}^"&amp;launch.year&amp;" + PF{4}^"&amp;launch.year&amp;" ) X CWRF"</f>
        <v>( PF{2}^2010 + PF{3}^2010 + PF{4}^2010 ) X CWRF</v>
      </c>
    </row>
    <row r="33" spans="2:11" x14ac:dyDescent="0.25">
      <c r="C33" s="93" t="s">
        <v>53</v>
      </c>
      <c r="D33" t="str">
        <f>"( "&amp;TEXT(E9,"#,###")&amp;" + "&amp;TEXT(E10,"#,###")&amp;" + "&amp;TEXT(E11,"#,###")&amp;" ) X "&amp;D30</f>
        <v>( 1,190 + 1,428 + 1,846 ) X 0.279</v>
      </c>
    </row>
    <row r="34" spans="2:11" x14ac:dyDescent="0.25">
      <c r="C34" s="93" t="s">
        <v>53</v>
      </c>
      <c r="D34" t="str">
        <f>TEXT((E9+E10+E11)*D30,"#,###")</f>
        <v>1,245</v>
      </c>
    </row>
    <row r="37" spans="2:11" x14ac:dyDescent="0.25">
      <c r="B37" t="str">
        <f>"Hamilton-Perry  Projections: "&amp;study.area&amp;" "&amp;population&amp;" Male Population, "&amp;launch.year+10&amp;"-"&amp;launch.year+50</f>
        <v>Hamilton-Perry  Projections: Decatur  Total Male Population, 2020-2060</v>
      </c>
      <c r="C37" s="25"/>
      <c r="D37" s="25"/>
      <c r="E37" s="25"/>
      <c r="F37" s="25"/>
      <c r="G37" s="25"/>
      <c r="H37" s="25"/>
      <c r="I37" s="25"/>
    </row>
    <row r="39" spans="2:11" x14ac:dyDescent="0.25">
      <c r="B39" s="10" t="s">
        <v>9</v>
      </c>
      <c r="C39" s="11" t="s">
        <v>10</v>
      </c>
      <c r="D39" s="104" t="s">
        <v>33</v>
      </c>
      <c r="E39" s="104"/>
      <c r="F39" s="11" t="s">
        <v>12</v>
      </c>
      <c r="G39" s="73" t="s">
        <v>33</v>
      </c>
      <c r="H39" s="74"/>
      <c r="I39" s="74"/>
      <c r="J39" s="74"/>
      <c r="K39" s="75"/>
    </row>
    <row r="40" spans="2:11" x14ac:dyDescent="0.25">
      <c r="B40" s="12"/>
      <c r="C40" s="13"/>
      <c r="D40" s="11">
        <f>base.year</f>
        <v>2000</v>
      </c>
      <c r="E40" s="14">
        <f>launch.year</f>
        <v>2010</v>
      </c>
      <c r="F40" s="13" t="s">
        <v>13</v>
      </c>
      <c r="G40" s="15">
        <f>launch.year+10</f>
        <v>2020</v>
      </c>
      <c r="H40" s="11">
        <f>launch.year+20</f>
        <v>2030</v>
      </c>
      <c r="I40" s="11">
        <f>launch.year+30</f>
        <v>2040</v>
      </c>
      <c r="J40" s="11">
        <f>launch.year+40</f>
        <v>2050</v>
      </c>
      <c r="K40" s="11">
        <f>launch.year+50</f>
        <v>2060</v>
      </c>
    </row>
    <row r="41" spans="2:11" x14ac:dyDescent="0.25">
      <c r="B41" s="16" t="s">
        <v>52</v>
      </c>
      <c r="C41" s="13"/>
      <c r="D41" s="13" t="str">
        <f>"PM{n}^"&amp;base.year</f>
        <v>PM{n}^2000</v>
      </c>
      <c r="E41" s="13" t="str">
        <f>"PM{n}^"&amp;launch.year</f>
        <v>PM{n}^2010</v>
      </c>
      <c r="F41" s="13"/>
      <c r="G41" s="13" t="str">
        <f>"PM{n}^"&amp;launch.year+10</f>
        <v>PM{n}^2020</v>
      </c>
      <c r="H41" s="13" t="str">
        <f>"PM{n}^"&amp;launch.year+20</f>
        <v>PM{n}^2030</v>
      </c>
      <c r="I41" s="13" t="str">
        <f>"PM{n}^"&amp;launch.year+30</f>
        <v>PM{n}^2040</v>
      </c>
      <c r="J41" s="13" t="str">
        <f>"PM{n}^"&amp;launch.year+40</f>
        <v>PM{n}^2050</v>
      </c>
      <c r="K41" s="13" t="str">
        <f>"PM{n}^"&amp;launch.year+50</f>
        <v>PM{n}^2060</v>
      </c>
    </row>
    <row r="42" spans="2:11" x14ac:dyDescent="0.25">
      <c r="B42" s="71" t="s">
        <v>14</v>
      </c>
      <c r="C42" s="71" t="s">
        <v>15</v>
      </c>
      <c r="D42" s="71" t="s">
        <v>16</v>
      </c>
      <c r="E42" s="69" t="s">
        <v>17</v>
      </c>
      <c r="F42" s="71" t="s">
        <v>18</v>
      </c>
      <c r="G42" s="72" t="s">
        <v>19</v>
      </c>
      <c r="H42" s="71" t="s">
        <v>20</v>
      </c>
      <c r="I42" s="71" t="s">
        <v>21</v>
      </c>
      <c r="J42" s="71" t="s">
        <v>34</v>
      </c>
      <c r="K42" s="71" t="s">
        <v>35</v>
      </c>
    </row>
    <row r="43" spans="2:11" x14ac:dyDescent="0.25">
      <c r="B43" s="16">
        <v>0</v>
      </c>
      <c r="C43" s="16" t="s">
        <v>22</v>
      </c>
      <c r="D43" s="16" t="s">
        <v>22</v>
      </c>
      <c r="E43" s="16" t="s">
        <v>22</v>
      </c>
      <c r="F43" s="18">
        <f>ROUND(E44/(D9+D10+D11),3)</f>
        <v>0.28999999999999998</v>
      </c>
      <c r="G43" s="16" t="s">
        <v>22</v>
      </c>
      <c r="H43" s="16" t="s">
        <v>22</v>
      </c>
      <c r="I43" s="16" t="s">
        <v>22</v>
      </c>
      <c r="J43" s="16" t="s">
        <v>22</v>
      </c>
      <c r="K43" s="16" t="s">
        <v>22</v>
      </c>
    </row>
    <row r="44" spans="2:11" x14ac:dyDescent="0.25">
      <c r="B44" s="13">
        <v>1</v>
      </c>
      <c r="C44" s="13" t="s">
        <v>23</v>
      </c>
      <c r="D44" s="66">
        <f>Input!$G11</f>
        <v>1024</v>
      </c>
      <c r="E44" s="66">
        <f>Input!$I11</f>
        <v>1399</v>
      </c>
      <c r="F44" s="18">
        <f t="shared" ref="F44:F50" si="3">ROUND(E45/D44,3)</f>
        <v>0.89200000000000002</v>
      </c>
      <c r="G44" s="66">
        <f>ROUND($F43*(E9+E10+E11),0)</f>
        <v>1295</v>
      </c>
      <c r="H44" s="66">
        <f>ROUND($F43*(G9+G10+G11),0)</f>
        <v>1325</v>
      </c>
      <c r="I44" s="66">
        <f>ROUND($F43*(H9+H10+H11),0)</f>
        <v>1422</v>
      </c>
      <c r="J44" s="66">
        <f>ROUND($F43*(I9+I10+I11),0)</f>
        <v>1541</v>
      </c>
      <c r="K44" s="66">
        <f>ROUND($F43*(J9+J10+J11),0)</f>
        <v>1540</v>
      </c>
    </row>
    <row r="45" spans="2:11" x14ac:dyDescent="0.25">
      <c r="B45" s="13">
        <v>2</v>
      </c>
      <c r="C45" s="13" t="s">
        <v>24</v>
      </c>
      <c r="D45" s="66">
        <f>Input!$G12</f>
        <v>915</v>
      </c>
      <c r="E45" s="66">
        <f>Input!$I12</f>
        <v>913</v>
      </c>
      <c r="F45" s="18">
        <f t="shared" si="3"/>
        <v>0.91300000000000003</v>
      </c>
      <c r="G45" s="66">
        <f t="shared" ref="G45:G51" si="4">ROUND(E44*$F44,0)</f>
        <v>1248</v>
      </c>
      <c r="H45" s="66">
        <f t="shared" ref="H45:K51" si="5">ROUND(G44*$F44,0)</f>
        <v>1155</v>
      </c>
      <c r="I45" s="66">
        <f t="shared" si="5"/>
        <v>1182</v>
      </c>
      <c r="J45" s="66">
        <f t="shared" si="5"/>
        <v>1268</v>
      </c>
      <c r="K45" s="66">
        <f t="shared" si="5"/>
        <v>1375</v>
      </c>
    </row>
    <row r="46" spans="2:11" x14ac:dyDescent="0.25">
      <c r="B46" s="13">
        <v>3</v>
      </c>
      <c r="C46" s="13" t="s">
        <v>25</v>
      </c>
      <c r="D46" s="66">
        <f>Input!$G13</f>
        <v>1026</v>
      </c>
      <c r="E46" s="66">
        <f>Input!$I13</f>
        <v>835</v>
      </c>
      <c r="F46" s="18">
        <f t="shared" si="3"/>
        <v>1.4470000000000001</v>
      </c>
      <c r="G46" s="66">
        <f t="shared" si="4"/>
        <v>834</v>
      </c>
      <c r="H46" s="66">
        <f t="shared" si="5"/>
        <v>1139</v>
      </c>
      <c r="I46" s="66">
        <f t="shared" si="5"/>
        <v>1055</v>
      </c>
      <c r="J46" s="66">
        <f t="shared" si="5"/>
        <v>1079</v>
      </c>
      <c r="K46" s="66">
        <f t="shared" si="5"/>
        <v>1158</v>
      </c>
    </row>
    <row r="47" spans="2:11" x14ac:dyDescent="0.25">
      <c r="B47" s="13">
        <v>4</v>
      </c>
      <c r="C47" s="13" t="s">
        <v>26</v>
      </c>
      <c r="D47" s="66">
        <f>Input!$G14</f>
        <v>1681</v>
      </c>
      <c r="E47" s="66">
        <f>Input!$I14</f>
        <v>1485</v>
      </c>
      <c r="F47" s="18">
        <f t="shared" si="3"/>
        <v>0.91500000000000004</v>
      </c>
      <c r="G47" s="66">
        <f t="shared" si="4"/>
        <v>1208</v>
      </c>
      <c r="H47" s="66">
        <f t="shared" si="5"/>
        <v>1207</v>
      </c>
      <c r="I47" s="66">
        <f t="shared" si="5"/>
        <v>1648</v>
      </c>
      <c r="J47" s="66">
        <f t="shared" si="5"/>
        <v>1527</v>
      </c>
      <c r="K47" s="66">
        <f t="shared" si="5"/>
        <v>1561</v>
      </c>
    </row>
    <row r="48" spans="2:11" x14ac:dyDescent="0.25">
      <c r="B48" s="13">
        <v>5</v>
      </c>
      <c r="C48" s="13" t="s">
        <v>27</v>
      </c>
      <c r="D48" s="66">
        <f>Input!$G15</f>
        <v>1325</v>
      </c>
      <c r="E48" s="66">
        <f>Input!$I15</f>
        <v>1538</v>
      </c>
      <c r="F48" s="18">
        <f t="shared" si="3"/>
        <v>0.83499999999999996</v>
      </c>
      <c r="G48" s="66">
        <f t="shared" si="4"/>
        <v>1359</v>
      </c>
      <c r="H48" s="66">
        <f t="shared" si="5"/>
        <v>1105</v>
      </c>
      <c r="I48" s="66">
        <f t="shared" si="5"/>
        <v>1104</v>
      </c>
      <c r="J48" s="66">
        <f t="shared" si="5"/>
        <v>1508</v>
      </c>
      <c r="K48" s="66">
        <f t="shared" si="5"/>
        <v>1397</v>
      </c>
    </row>
    <row r="49" spans="2:11" x14ac:dyDescent="0.25">
      <c r="B49" s="13">
        <v>6</v>
      </c>
      <c r="C49" s="13" t="s">
        <v>28</v>
      </c>
      <c r="D49" s="66">
        <f>Input!$G16</f>
        <v>838</v>
      </c>
      <c r="E49" s="66">
        <f>Input!$I16</f>
        <v>1106</v>
      </c>
      <c r="F49" s="18">
        <f t="shared" si="3"/>
        <v>0.83399999999999996</v>
      </c>
      <c r="G49" s="66">
        <f t="shared" si="4"/>
        <v>1284</v>
      </c>
      <c r="H49" s="66">
        <f t="shared" si="5"/>
        <v>1135</v>
      </c>
      <c r="I49" s="66">
        <f t="shared" si="5"/>
        <v>923</v>
      </c>
      <c r="J49" s="66">
        <f t="shared" si="5"/>
        <v>922</v>
      </c>
      <c r="K49" s="66">
        <f t="shared" si="5"/>
        <v>1259</v>
      </c>
    </row>
    <row r="50" spans="2:11" x14ac:dyDescent="0.25">
      <c r="B50" s="13">
        <v>7</v>
      </c>
      <c r="C50" s="13" t="s">
        <v>29</v>
      </c>
      <c r="D50" s="66">
        <f>Input!$G17</f>
        <v>377</v>
      </c>
      <c r="E50" s="66">
        <f>Input!$I17</f>
        <v>699</v>
      </c>
      <c r="F50" s="18">
        <f t="shared" si="3"/>
        <v>0.76400000000000001</v>
      </c>
      <c r="G50" s="66">
        <f t="shared" si="4"/>
        <v>922</v>
      </c>
      <c r="H50" s="66">
        <f t="shared" si="5"/>
        <v>1071</v>
      </c>
      <c r="I50" s="66">
        <f t="shared" si="5"/>
        <v>947</v>
      </c>
      <c r="J50" s="66">
        <f t="shared" si="5"/>
        <v>770</v>
      </c>
      <c r="K50" s="66">
        <f t="shared" si="5"/>
        <v>769</v>
      </c>
    </row>
    <row r="51" spans="2:11" x14ac:dyDescent="0.25">
      <c r="B51" s="13">
        <v>8</v>
      </c>
      <c r="C51" s="13" t="s">
        <v>30</v>
      </c>
      <c r="D51" s="66">
        <f>Input!$G18</f>
        <v>287</v>
      </c>
      <c r="E51" s="66">
        <f>Input!$I18</f>
        <v>288</v>
      </c>
      <c r="F51" s="19">
        <f>ROUND(E52/(D51+D52),3)</f>
        <v>0.33100000000000002</v>
      </c>
      <c r="G51" s="66">
        <f t="shared" si="4"/>
        <v>534</v>
      </c>
      <c r="H51" s="66">
        <f t="shared" si="5"/>
        <v>704</v>
      </c>
      <c r="I51" s="66">
        <f t="shared" si="5"/>
        <v>818</v>
      </c>
      <c r="J51" s="66">
        <f t="shared" si="5"/>
        <v>724</v>
      </c>
      <c r="K51" s="66">
        <f t="shared" si="5"/>
        <v>588</v>
      </c>
    </row>
    <row r="52" spans="2:11" x14ac:dyDescent="0.25">
      <c r="B52" s="13">
        <v>9</v>
      </c>
      <c r="C52" s="13" t="s">
        <v>31</v>
      </c>
      <c r="D52" s="66">
        <f>Input!$G19</f>
        <v>221</v>
      </c>
      <c r="E52" s="66">
        <f>Input!$I19</f>
        <v>168</v>
      </c>
      <c r="F52" s="20" t="s">
        <v>22</v>
      </c>
      <c r="G52" s="66">
        <f>ROUND($F51*(E51+E52),0)</f>
        <v>151</v>
      </c>
      <c r="H52" s="66">
        <f>ROUND($F51*(G51+G52),0)</f>
        <v>227</v>
      </c>
      <c r="I52" s="66">
        <f>ROUND($F51*(H51+H52),0)</f>
        <v>308</v>
      </c>
      <c r="J52" s="66">
        <f>ROUND($F51*(I51+I52),0)</f>
        <v>373</v>
      </c>
      <c r="K52" s="66">
        <f>ROUND($F51*(J51+J52),0)</f>
        <v>363</v>
      </c>
    </row>
    <row r="53" spans="2:11" x14ac:dyDescent="0.25">
      <c r="B53" s="21"/>
      <c r="C53" s="22" t="s">
        <v>32</v>
      </c>
      <c r="D53" s="23">
        <f>SUM(D44:D52)</f>
        <v>7694</v>
      </c>
      <c r="E53" s="23">
        <f>SUM(E44:E52)</f>
        <v>8431</v>
      </c>
      <c r="F53" s="24" t="s">
        <v>22</v>
      </c>
      <c r="G53" s="67">
        <f>SUM(G44:G52)</f>
        <v>8835</v>
      </c>
      <c r="H53" s="67">
        <f>SUM(H44:H52)</f>
        <v>9068</v>
      </c>
      <c r="I53" s="67">
        <f>SUM(I44:I52)</f>
        <v>9407</v>
      </c>
      <c r="J53" s="67">
        <f>SUM(J44:J52)</f>
        <v>9712</v>
      </c>
      <c r="K53" s="67">
        <f>SUM(K44:K52)</f>
        <v>10010</v>
      </c>
    </row>
    <row r="54" spans="2:11" x14ac:dyDescent="0.25">
      <c r="C54" s="19"/>
      <c r="D54" s="26"/>
      <c r="E54" s="26"/>
      <c r="F54" s="20"/>
      <c r="G54" s="26"/>
      <c r="H54" s="26"/>
      <c r="I54" s="26"/>
      <c r="K54" s="9"/>
    </row>
    <row r="55" spans="2:11" x14ac:dyDescent="0.25">
      <c r="C55" s="19"/>
      <c r="D55" s="26"/>
      <c r="E55" s="26"/>
      <c r="F55" s="20"/>
      <c r="G55" s="26"/>
      <c r="H55" s="26"/>
      <c r="I55" s="26"/>
      <c r="K55" s="9"/>
    </row>
    <row r="56" spans="2:11" x14ac:dyDescent="0.25">
      <c r="C56" s="91" t="s">
        <v>60</v>
      </c>
      <c r="D56" t="str">
        <f>"PM{2)^"&amp;launch.year&amp;" / "&amp;"PF{1)^"&amp;base.year</f>
        <v>PM{2)^2010 / PF{1)^2000</v>
      </c>
      <c r="H56" s="91" t="s">
        <v>58</v>
      </c>
      <c r="I56" t="str">
        <f>"PM{9}^"&amp;launch.year&amp;" / ( PM{8}^"&amp;base.year&amp;" + PM{9}^"&amp;base.year&amp;" )"</f>
        <v>PM{9}^2010 / ( PM{8}^2000 + PM{9}^2000 )</v>
      </c>
    </row>
    <row r="57" spans="2:11" x14ac:dyDescent="0.25">
      <c r="C57" s="93" t="s">
        <v>53</v>
      </c>
      <c r="D57" t="str">
        <f>TEXT(E45,"#,###")&amp;" / "&amp;TEXT(D44,"#,###")</f>
        <v>913 / 1,024</v>
      </c>
      <c r="H57" s="93" t="s">
        <v>53</v>
      </c>
      <c r="I57" t="str">
        <f>TEXT(E52,"#,###")&amp;" / ( "&amp;TEXT(D51,"#,###")&amp;" + "&amp;TEXT(D52,"#,###")&amp;" )"</f>
        <v>168 / ( 287 + 221 )</v>
      </c>
    </row>
    <row r="58" spans="2:11" x14ac:dyDescent="0.25">
      <c r="C58" s="93" t="s">
        <v>53</v>
      </c>
      <c r="D58" s="92">
        <f>ROUND(E45/D44,3)</f>
        <v>0.89200000000000002</v>
      </c>
      <c r="H58" s="93" t="s">
        <v>53</v>
      </c>
      <c r="I58" s="92">
        <f>ROUND(E52/(D51+D52),3)</f>
        <v>0.33100000000000002</v>
      </c>
    </row>
    <row r="60" spans="2:11" x14ac:dyDescent="0.25">
      <c r="C60" s="91" t="str">
        <f>"PM{2)^"&amp;launch.year&amp;" ="</f>
        <v>PM{2)^2010 =</v>
      </c>
      <c r="D60" t="str">
        <f>"PM{1)^"&amp;launch.year&amp;" X CCRM{1,2}"</f>
        <v>PM{1)^2010 X CCRM{1,2}</v>
      </c>
      <c r="H60" s="91" t="str">
        <f>"PM{9}^"&amp;launch.year&amp;" ="</f>
        <v>PM{9}^2010 =</v>
      </c>
      <c r="I60" t="str">
        <f>"CCRF{8+9,9} X ( PM{8}^"&amp;launch.year&amp;" + PM{9}^"&amp;launch.year&amp;" )"</f>
        <v>CCRF{8+9,9} X ( PM{8}^2010 + PM{9}^2010 )</v>
      </c>
    </row>
    <row r="61" spans="2:11" x14ac:dyDescent="0.25">
      <c r="C61" s="93" t="s">
        <v>53</v>
      </c>
      <c r="D61" t="str">
        <f>TEXT(E44,"#,###")&amp;" X "&amp;D58</f>
        <v>1,399 X 0.892</v>
      </c>
      <c r="H61" s="93" t="s">
        <v>53</v>
      </c>
      <c r="I61" t="str">
        <f>I58&amp;" X ("&amp;TEXT(E51,"#,###")&amp;" + "&amp;TEXT(E52,"#,###")&amp;" )"</f>
        <v>0.331 X (288 + 168 )</v>
      </c>
    </row>
    <row r="62" spans="2:11" x14ac:dyDescent="0.25">
      <c r="C62" s="93" t="s">
        <v>53</v>
      </c>
      <c r="D62" s="94" t="str">
        <f>TEXT(E44*F44,"#,###")</f>
        <v>1,248</v>
      </c>
      <c r="H62" s="93" t="s">
        <v>53</v>
      </c>
      <c r="I62" s="94" t="str">
        <f>TEXT(F51*(E51+E52),"#,###")</f>
        <v>151</v>
      </c>
    </row>
    <row r="63" spans="2:11" x14ac:dyDescent="0.25">
      <c r="G63" s="91"/>
    </row>
    <row r="64" spans="2:11" x14ac:dyDescent="0.25">
      <c r="C64" s="91" t="s">
        <v>55</v>
      </c>
      <c r="D64" t="str">
        <f>"PM{1)^"&amp;launch.year&amp;" / (PF{2}^"&amp;base.year&amp;" + PF{3}^"&amp;base.year&amp;" + PF{4}^"&amp;base.year&amp;")"</f>
        <v>PM{1)^2010 / (PF{2}^2000 + PF{3}^2000 + PF{4}^2000)</v>
      </c>
    </row>
    <row r="65" spans="2:21" x14ac:dyDescent="0.25">
      <c r="C65" s="91" t="s">
        <v>53</v>
      </c>
      <c r="D65" t="str">
        <f>TEXT(E44,"#,###")&amp;" / ( "&amp;TEXT(D9,"#,###")&amp;" + "&amp;TEXT(D10,"#,###")&amp;" + "&amp;TEXT(D11,"#,###")&amp;" )"</f>
        <v>1,399 / ( 1,205 + 1,677 + 1,939 )</v>
      </c>
    </row>
    <row r="66" spans="2:21" x14ac:dyDescent="0.25">
      <c r="C66" s="91" t="s">
        <v>53</v>
      </c>
      <c r="D66" s="92">
        <f>ROUND(E44/(D9+D10+D11),3)</f>
        <v>0.28999999999999998</v>
      </c>
    </row>
    <row r="67" spans="2:21" x14ac:dyDescent="0.25">
      <c r="C67" s="91"/>
    </row>
    <row r="68" spans="2:21" x14ac:dyDescent="0.25">
      <c r="C68" s="91" t="str">
        <f>"PM{1)^"&amp;launch.year+10&amp;" ="</f>
        <v>PM{1)^2020 =</v>
      </c>
      <c r="D68" t="str">
        <f>"( PF{2}^"&amp;launch.year&amp;" + PF{3}^"&amp;launch.year&amp;" + PF{4}^"&amp;launch.year&amp;" ) X CWRF"</f>
        <v>( PF{2}^2010 + PF{3}^2010 + PF{4}^2010 ) X CWRF</v>
      </c>
    </row>
    <row r="69" spans="2:21" x14ac:dyDescent="0.25">
      <c r="C69" s="93" t="s">
        <v>53</v>
      </c>
      <c r="D69" t="str">
        <f>"( "&amp;TEXT(E9,"#,###")&amp;" + "&amp;TEXT(E10,"#,###")&amp;" + "&amp;TEXT(E11,"#,###")&amp;" ) X "&amp;TEXT(D66,"#.##0")</f>
        <v>( 1,190 + 1,428 + 1,846 ) X .290</v>
      </c>
    </row>
    <row r="70" spans="2:21" x14ac:dyDescent="0.25">
      <c r="C70" s="93" t="s">
        <v>53</v>
      </c>
      <c r="D70" t="str">
        <f>TEXT((E9+E10+E11)*D66,"#,###")</f>
        <v>1,295</v>
      </c>
    </row>
    <row r="73" spans="2:21" x14ac:dyDescent="0.25">
      <c r="B73" t="str">
        <f>"Hamilton-Perry  Projections: "&amp;study.area&amp;" "&amp;population&amp;" Population, "&amp;target.year</f>
        <v>Hamilton-Perry  Projections: Decatur  Total Population, 2040</v>
      </c>
      <c r="C73" s="19"/>
      <c r="D73" s="26"/>
      <c r="E73" s="26"/>
      <c r="F73" s="20"/>
      <c r="G73" s="26"/>
      <c r="H73" s="26"/>
      <c r="I73" s="26"/>
    </row>
    <row r="74" spans="2:21" x14ac:dyDescent="0.25">
      <c r="C74" s="19"/>
      <c r="D74" s="26"/>
      <c r="E74" s="26"/>
      <c r="F74" s="20"/>
      <c r="G74" s="26"/>
      <c r="H74" s="26"/>
      <c r="I74" s="26"/>
    </row>
    <row r="75" spans="2:21" x14ac:dyDescent="0.25">
      <c r="B75" s="27" t="s">
        <v>9</v>
      </c>
      <c r="C75" s="77" t="s">
        <v>10</v>
      </c>
      <c r="D75" s="73" t="str">
        <f>launch.year&amp;" "&amp;population&amp;" Population"</f>
        <v>2010 Total Population</v>
      </c>
      <c r="E75" s="74"/>
      <c r="F75" s="75"/>
      <c r="G75" s="73" t="str">
        <f>IF(target.10,launch.year+10&amp;" "&amp;population&amp;" Population",IF(target.20,launch.year+20&amp;" "&amp;population&amp;" Population",IF(target.30,launch.year+30&amp;" "&amp;population&amp;" Population",IF(target.40,launch.year+40&amp;" "&amp;population&amp;" Population",IF(target.50,launch.year+50&amp;" "&amp;population&amp;" Population")))))</f>
        <v>2040 Total Population</v>
      </c>
      <c r="H75" s="74"/>
      <c r="I75" s="75"/>
      <c r="J75" s="28" t="str">
        <f>"Percentage Change ("&amp;launch.year&amp;"-"&amp;target.year&amp;")"</f>
        <v>Percentage Change (2010-2040)</v>
      </c>
      <c r="K75" s="30"/>
      <c r="L75" s="29"/>
      <c r="M75" s="80"/>
      <c r="O75" t="str">
        <f>study.area&amp;" "&amp;population&amp;" Population, "&amp;launch.year</f>
        <v>Decatur  Total Population, 2010</v>
      </c>
      <c r="S75" t="str">
        <f>study.area&amp;" "&amp;population&amp;" Population, "&amp;target.year</f>
        <v>Decatur  Total Population, 2040</v>
      </c>
    </row>
    <row r="76" spans="2:21" x14ac:dyDescent="0.25">
      <c r="B76" s="31"/>
      <c r="C76" s="78"/>
      <c r="D76" s="22" t="s">
        <v>36</v>
      </c>
      <c r="E76" s="22" t="s">
        <v>37</v>
      </c>
      <c r="F76" s="22" t="s">
        <v>32</v>
      </c>
      <c r="G76" s="22" t="s">
        <v>36</v>
      </c>
      <c r="H76" s="22" t="s">
        <v>37</v>
      </c>
      <c r="I76" s="22" t="s">
        <v>32</v>
      </c>
      <c r="J76" s="32" t="s">
        <v>36</v>
      </c>
      <c r="K76" s="32" t="s">
        <v>37</v>
      </c>
      <c r="L76" s="79" t="s">
        <v>32</v>
      </c>
      <c r="M76" s="80"/>
    </row>
    <row r="77" spans="2:21" x14ac:dyDescent="0.25">
      <c r="B77" s="76" t="s">
        <v>14</v>
      </c>
      <c r="C77" s="76" t="s">
        <v>15</v>
      </c>
      <c r="D77" s="76" t="s">
        <v>16</v>
      </c>
      <c r="E77" s="76" t="s">
        <v>17</v>
      </c>
      <c r="F77" s="76" t="s">
        <v>18</v>
      </c>
      <c r="G77" s="76" t="s">
        <v>19</v>
      </c>
      <c r="H77" s="76" t="s">
        <v>20</v>
      </c>
      <c r="I77" s="76" t="s">
        <v>21</v>
      </c>
      <c r="J77" s="76" t="s">
        <v>34</v>
      </c>
      <c r="K77" s="76" t="s">
        <v>35</v>
      </c>
      <c r="L77" s="76" t="s">
        <v>51</v>
      </c>
      <c r="M77" s="81"/>
      <c r="O77" s="19" t="s">
        <v>56</v>
      </c>
      <c r="P77" s="19" t="s">
        <v>36</v>
      </c>
      <c r="Q77" s="19" t="s">
        <v>37</v>
      </c>
      <c r="S77" s="19" t="s">
        <v>56</v>
      </c>
      <c r="T77" s="19" t="s">
        <v>36</v>
      </c>
      <c r="U77" s="19" t="s">
        <v>37</v>
      </c>
    </row>
    <row r="78" spans="2:21" x14ac:dyDescent="0.25">
      <c r="B78" s="31">
        <v>1</v>
      </c>
      <c r="C78" s="31" t="s">
        <v>23</v>
      </c>
      <c r="D78" s="33">
        <f>Input!I11</f>
        <v>1399</v>
      </c>
      <c r="E78" s="33">
        <f>Input!J11</f>
        <v>1347</v>
      </c>
      <c r="F78" s="33">
        <f>D78+E78</f>
        <v>2746</v>
      </c>
      <c r="G78" s="87">
        <f t="shared" ref="G78:G86" si="6">IF(target.10,G44,IF(target.20,H44,IF(target.30,I44,IF(target.40,J44,IF(target.50,K44)))))</f>
        <v>1422</v>
      </c>
      <c r="H78" s="87">
        <f t="shared" ref="H78:H86" si="7">IF(target.10,G8,IF(target.20,H8,IF(target.30,I8,IF(target.40,J8,IF(target.50,K8)))))</f>
        <v>1368</v>
      </c>
      <c r="I78" s="88">
        <f>G78+H78</f>
        <v>2790</v>
      </c>
      <c r="J78" s="84">
        <f>(G78-D78)/D78</f>
        <v>1.6440314510364547E-2</v>
      </c>
      <c r="K78" s="84">
        <f t="shared" ref="K78:L87" si="8">(H78-E78)/E78</f>
        <v>1.5590200445434299E-2</v>
      </c>
      <c r="L78" s="84">
        <f t="shared" si="8"/>
        <v>1.6023306627822288E-2</v>
      </c>
      <c r="M78" s="82"/>
      <c r="O78" s="19" t="str">
        <f>C78</f>
        <v>0-9</v>
      </c>
      <c r="P78" s="95">
        <f>-D78</f>
        <v>-1399</v>
      </c>
      <c r="Q78" s="95">
        <f>E78</f>
        <v>1347</v>
      </c>
      <c r="S78" s="19" t="str">
        <f t="shared" ref="S78:S86" si="9">C78</f>
        <v>0-9</v>
      </c>
      <c r="T78" s="95">
        <f t="shared" ref="T78:T86" si="10">-G78</f>
        <v>-1422</v>
      </c>
      <c r="U78" s="95">
        <f t="shared" ref="U78:U86" si="11">H78</f>
        <v>1368</v>
      </c>
    </row>
    <row r="79" spans="2:21" x14ac:dyDescent="0.25">
      <c r="B79" s="31">
        <v>2</v>
      </c>
      <c r="C79" s="31" t="s">
        <v>24</v>
      </c>
      <c r="D79" s="33">
        <f>Input!I12</f>
        <v>913</v>
      </c>
      <c r="E79" s="33">
        <f>Input!J12</f>
        <v>1190</v>
      </c>
      <c r="F79" s="33">
        <f t="shared" ref="F79:F86" si="12">D79+E79</f>
        <v>2103</v>
      </c>
      <c r="G79" s="66">
        <f t="shared" si="6"/>
        <v>1182</v>
      </c>
      <c r="H79" s="66">
        <f t="shared" si="7"/>
        <v>1503</v>
      </c>
      <c r="I79" s="83">
        <f t="shared" ref="I79:I86" si="13">G79+H79</f>
        <v>2685</v>
      </c>
      <c r="J79" s="84">
        <f t="shared" ref="J79:J86" si="14">(G79-D79)/D79</f>
        <v>0.29463307776560788</v>
      </c>
      <c r="K79" s="84">
        <f t="shared" si="8"/>
        <v>0.26302521008403362</v>
      </c>
      <c r="L79" s="84">
        <f t="shared" si="8"/>
        <v>0.27674750356633382</v>
      </c>
      <c r="M79" s="82"/>
      <c r="O79" s="19" t="str">
        <f t="shared" ref="O79:O86" si="15">C79</f>
        <v>10-19</v>
      </c>
      <c r="P79" s="95">
        <f t="shared" ref="P79:P86" si="16">-D79</f>
        <v>-913</v>
      </c>
      <c r="Q79" s="95">
        <f t="shared" ref="Q79:Q86" si="17">E79</f>
        <v>1190</v>
      </c>
      <c r="S79" s="19" t="str">
        <f t="shared" si="9"/>
        <v>10-19</v>
      </c>
      <c r="T79" s="95">
        <f t="shared" si="10"/>
        <v>-1182</v>
      </c>
      <c r="U79" s="95">
        <f t="shared" si="11"/>
        <v>1503</v>
      </c>
    </row>
    <row r="80" spans="2:21" x14ac:dyDescent="0.25">
      <c r="B80" s="31">
        <v>3</v>
      </c>
      <c r="C80" s="31" t="s">
        <v>25</v>
      </c>
      <c r="D80" s="33">
        <f>Input!I13</f>
        <v>835</v>
      </c>
      <c r="E80" s="33">
        <f>Input!J13</f>
        <v>1428</v>
      </c>
      <c r="F80" s="33">
        <f t="shared" si="12"/>
        <v>2263</v>
      </c>
      <c r="G80" s="66">
        <f t="shared" si="6"/>
        <v>1055</v>
      </c>
      <c r="H80" s="66">
        <f t="shared" si="7"/>
        <v>1740</v>
      </c>
      <c r="I80" s="83">
        <f t="shared" si="13"/>
        <v>2795</v>
      </c>
      <c r="J80" s="84">
        <f t="shared" si="14"/>
        <v>0.26347305389221559</v>
      </c>
      <c r="K80" s="84">
        <f t="shared" si="8"/>
        <v>0.21848739495798319</v>
      </c>
      <c r="L80" s="84">
        <f t="shared" si="8"/>
        <v>0.2350861688024746</v>
      </c>
      <c r="M80" s="82"/>
      <c r="O80" s="19" t="str">
        <f t="shared" si="15"/>
        <v>20-29</v>
      </c>
      <c r="P80" s="95">
        <f t="shared" si="16"/>
        <v>-835</v>
      </c>
      <c r="Q80" s="95">
        <f t="shared" si="17"/>
        <v>1428</v>
      </c>
      <c r="S80" s="19" t="str">
        <f t="shared" si="9"/>
        <v>20-29</v>
      </c>
      <c r="T80" s="95">
        <f t="shared" si="10"/>
        <v>-1055</v>
      </c>
      <c r="U80" s="95">
        <f t="shared" si="11"/>
        <v>1740</v>
      </c>
    </row>
    <row r="81" spans="2:21" x14ac:dyDescent="0.25">
      <c r="B81" s="31">
        <v>4</v>
      </c>
      <c r="C81" s="31" t="s">
        <v>26</v>
      </c>
      <c r="D81" s="33">
        <f>Input!I14</f>
        <v>1485</v>
      </c>
      <c r="E81" s="33">
        <f>Input!J14</f>
        <v>1846</v>
      </c>
      <c r="F81" s="33">
        <f t="shared" si="12"/>
        <v>3331</v>
      </c>
      <c r="G81" s="66">
        <f t="shared" si="6"/>
        <v>1648</v>
      </c>
      <c r="H81" s="66">
        <f t="shared" si="7"/>
        <v>2072</v>
      </c>
      <c r="I81" s="83">
        <f t="shared" si="13"/>
        <v>3720</v>
      </c>
      <c r="J81" s="84">
        <f t="shared" si="14"/>
        <v>0.10976430976430976</v>
      </c>
      <c r="K81" s="84">
        <f t="shared" si="8"/>
        <v>0.12242686890574214</v>
      </c>
      <c r="L81" s="84">
        <f t="shared" si="8"/>
        <v>0.11678174722305613</v>
      </c>
      <c r="M81" s="82"/>
      <c r="O81" s="19" t="str">
        <f t="shared" si="15"/>
        <v>30-39</v>
      </c>
      <c r="P81" s="95">
        <f t="shared" si="16"/>
        <v>-1485</v>
      </c>
      <c r="Q81" s="95">
        <f t="shared" si="17"/>
        <v>1846</v>
      </c>
      <c r="S81" s="19" t="str">
        <f t="shared" si="9"/>
        <v>30-39</v>
      </c>
      <c r="T81" s="95">
        <f t="shared" si="10"/>
        <v>-1648</v>
      </c>
      <c r="U81" s="95">
        <f t="shared" si="11"/>
        <v>2072</v>
      </c>
    </row>
    <row r="82" spans="2:21" x14ac:dyDescent="0.25">
      <c r="B82" s="31">
        <v>5</v>
      </c>
      <c r="C82" s="31" t="s">
        <v>27</v>
      </c>
      <c r="D82" s="33">
        <f>Input!I15</f>
        <v>1538</v>
      </c>
      <c r="E82" s="33">
        <f>Input!J15</f>
        <v>1759</v>
      </c>
      <c r="F82" s="33">
        <f t="shared" si="12"/>
        <v>3297</v>
      </c>
      <c r="G82" s="66">
        <f t="shared" si="6"/>
        <v>1104</v>
      </c>
      <c r="H82" s="66">
        <f t="shared" si="7"/>
        <v>1408</v>
      </c>
      <c r="I82" s="83">
        <f t="shared" si="13"/>
        <v>2512</v>
      </c>
      <c r="J82" s="84">
        <f t="shared" si="14"/>
        <v>-0.28218465539661897</v>
      </c>
      <c r="K82" s="84">
        <f t="shared" si="8"/>
        <v>-0.19954519613416713</v>
      </c>
      <c r="L82" s="84">
        <f t="shared" si="8"/>
        <v>-0.23809523809523808</v>
      </c>
      <c r="M82" s="82"/>
      <c r="O82" s="19" t="str">
        <f t="shared" si="15"/>
        <v>40-49</v>
      </c>
      <c r="P82" s="95">
        <f t="shared" si="16"/>
        <v>-1538</v>
      </c>
      <c r="Q82" s="95">
        <f t="shared" si="17"/>
        <v>1759</v>
      </c>
      <c r="S82" s="19" t="str">
        <f t="shared" si="9"/>
        <v>40-49</v>
      </c>
      <c r="T82" s="95">
        <f t="shared" si="10"/>
        <v>-1104</v>
      </c>
      <c r="U82" s="95">
        <f t="shared" si="11"/>
        <v>1408</v>
      </c>
    </row>
    <row r="83" spans="2:21" x14ac:dyDescent="0.25">
      <c r="B83" s="31">
        <v>6</v>
      </c>
      <c r="C83" s="31" t="s">
        <v>28</v>
      </c>
      <c r="D83" s="33">
        <f>Input!I16</f>
        <v>1106</v>
      </c>
      <c r="E83" s="33">
        <f>Input!J16</f>
        <v>1331</v>
      </c>
      <c r="F83" s="33">
        <f t="shared" si="12"/>
        <v>2437</v>
      </c>
      <c r="G83" s="66">
        <f t="shared" si="6"/>
        <v>923</v>
      </c>
      <c r="H83" s="66">
        <f t="shared" si="7"/>
        <v>1231</v>
      </c>
      <c r="I83" s="83">
        <f t="shared" si="13"/>
        <v>2154</v>
      </c>
      <c r="J83" s="84">
        <f t="shared" si="14"/>
        <v>-0.1654611211573237</v>
      </c>
      <c r="K83" s="84">
        <f t="shared" si="8"/>
        <v>-7.5131480090157771E-2</v>
      </c>
      <c r="L83" s="84">
        <f t="shared" si="8"/>
        <v>-0.11612638489946656</v>
      </c>
      <c r="M83" s="82"/>
      <c r="O83" s="19" t="str">
        <f t="shared" si="15"/>
        <v>50-59</v>
      </c>
      <c r="P83" s="95">
        <f t="shared" si="16"/>
        <v>-1106</v>
      </c>
      <c r="Q83" s="95">
        <f t="shared" si="17"/>
        <v>1331</v>
      </c>
      <c r="S83" s="19" t="str">
        <f t="shared" si="9"/>
        <v>50-59</v>
      </c>
      <c r="T83" s="95">
        <f t="shared" si="10"/>
        <v>-923</v>
      </c>
      <c r="U83" s="95">
        <f t="shared" si="11"/>
        <v>1231</v>
      </c>
    </row>
    <row r="84" spans="2:21" x14ac:dyDescent="0.25">
      <c r="B84" s="31">
        <v>7</v>
      </c>
      <c r="C84" s="31" t="s">
        <v>29</v>
      </c>
      <c r="D84" s="33">
        <f>Input!I17</f>
        <v>699</v>
      </c>
      <c r="E84" s="33">
        <f>Input!J17</f>
        <v>967</v>
      </c>
      <c r="F84" s="33">
        <f t="shared" si="12"/>
        <v>1666</v>
      </c>
      <c r="G84" s="66">
        <f t="shared" si="6"/>
        <v>947</v>
      </c>
      <c r="H84" s="66">
        <f t="shared" si="7"/>
        <v>1321</v>
      </c>
      <c r="I84" s="83">
        <f t="shared" si="13"/>
        <v>2268</v>
      </c>
      <c r="J84" s="84">
        <f t="shared" si="14"/>
        <v>0.35479256080114452</v>
      </c>
      <c r="K84" s="84">
        <f t="shared" si="8"/>
        <v>0.36608066184074456</v>
      </c>
      <c r="L84" s="84">
        <f t="shared" si="8"/>
        <v>0.36134453781512604</v>
      </c>
      <c r="M84" s="82"/>
      <c r="O84" s="19" t="str">
        <f t="shared" si="15"/>
        <v>60-69</v>
      </c>
      <c r="P84" s="95">
        <f t="shared" si="16"/>
        <v>-699</v>
      </c>
      <c r="Q84" s="95">
        <f t="shared" si="17"/>
        <v>967</v>
      </c>
      <c r="S84" s="19" t="str">
        <f t="shared" si="9"/>
        <v>60-69</v>
      </c>
      <c r="T84" s="95">
        <f t="shared" si="10"/>
        <v>-947</v>
      </c>
      <c r="U84" s="95">
        <f t="shared" si="11"/>
        <v>1321</v>
      </c>
    </row>
    <row r="85" spans="2:21" x14ac:dyDescent="0.25">
      <c r="B85" s="31">
        <v>8</v>
      </c>
      <c r="C85" s="31" t="s">
        <v>30</v>
      </c>
      <c r="D85" s="33">
        <f>Input!I18</f>
        <v>288</v>
      </c>
      <c r="E85" s="33">
        <f>Input!J18</f>
        <v>515</v>
      </c>
      <c r="F85" s="33">
        <f t="shared" si="12"/>
        <v>803</v>
      </c>
      <c r="G85" s="66">
        <f t="shared" si="6"/>
        <v>818</v>
      </c>
      <c r="H85" s="66">
        <f t="shared" si="7"/>
        <v>1229</v>
      </c>
      <c r="I85" s="83">
        <f t="shared" si="13"/>
        <v>2047</v>
      </c>
      <c r="J85" s="84">
        <f t="shared" si="14"/>
        <v>1.8402777777777777</v>
      </c>
      <c r="K85" s="84">
        <f t="shared" si="8"/>
        <v>1.3864077669902912</v>
      </c>
      <c r="L85" s="84">
        <f t="shared" si="8"/>
        <v>1.5491905354919053</v>
      </c>
      <c r="M85" s="82"/>
      <c r="O85" s="19" t="str">
        <f t="shared" si="15"/>
        <v>70-79</v>
      </c>
      <c r="P85" s="95">
        <f t="shared" si="16"/>
        <v>-288</v>
      </c>
      <c r="Q85" s="95">
        <f t="shared" si="17"/>
        <v>515</v>
      </c>
      <c r="S85" s="19" t="str">
        <f t="shared" si="9"/>
        <v>70-79</v>
      </c>
      <c r="T85" s="95">
        <f t="shared" si="10"/>
        <v>-818</v>
      </c>
      <c r="U85" s="95">
        <f t="shared" si="11"/>
        <v>1229</v>
      </c>
    </row>
    <row r="86" spans="2:21" x14ac:dyDescent="0.25">
      <c r="B86" s="31">
        <v>9</v>
      </c>
      <c r="C86" s="31" t="s">
        <v>31</v>
      </c>
      <c r="D86" s="33">
        <f>Input!I19</f>
        <v>168</v>
      </c>
      <c r="E86" s="33">
        <f>Input!J19</f>
        <v>521</v>
      </c>
      <c r="F86" s="33">
        <f t="shared" si="12"/>
        <v>689</v>
      </c>
      <c r="G86" s="89">
        <f t="shared" si="6"/>
        <v>308</v>
      </c>
      <c r="H86" s="89">
        <f t="shared" si="7"/>
        <v>549.58262971600004</v>
      </c>
      <c r="I86" s="90">
        <f t="shared" si="13"/>
        <v>857.58262971600004</v>
      </c>
      <c r="J86" s="84">
        <f t="shared" si="14"/>
        <v>0.83333333333333337</v>
      </c>
      <c r="K86" s="84">
        <f t="shared" si="8"/>
        <v>5.4861093504798543E-2</v>
      </c>
      <c r="L86" s="84">
        <f t="shared" si="8"/>
        <v>0.24467725648185781</v>
      </c>
      <c r="M86" s="82"/>
      <c r="O86" s="19" t="str">
        <f t="shared" si="15"/>
        <v>80+</v>
      </c>
      <c r="P86" s="95">
        <f t="shared" si="16"/>
        <v>-168</v>
      </c>
      <c r="Q86" s="95">
        <f t="shared" si="17"/>
        <v>521</v>
      </c>
      <c r="S86" s="19" t="str">
        <f t="shared" si="9"/>
        <v>80+</v>
      </c>
      <c r="T86" s="95">
        <f t="shared" si="10"/>
        <v>-308</v>
      </c>
      <c r="U86" s="95">
        <f t="shared" si="11"/>
        <v>549.58262971600004</v>
      </c>
    </row>
    <row r="87" spans="2:21" x14ac:dyDescent="0.25">
      <c r="B87" s="34"/>
      <c r="C87" s="35" t="s">
        <v>32</v>
      </c>
      <c r="D87" s="85">
        <f t="shared" ref="D87:I87" si="18">SUM(D78:D86)</f>
        <v>8431</v>
      </c>
      <c r="E87" s="85">
        <f t="shared" si="18"/>
        <v>10904</v>
      </c>
      <c r="F87" s="85">
        <f t="shared" si="18"/>
        <v>19335</v>
      </c>
      <c r="G87" s="85">
        <f t="shared" si="18"/>
        <v>9407</v>
      </c>
      <c r="H87" s="85">
        <f t="shared" si="18"/>
        <v>12421.582629716</v>
      </c>
      <c r="I87" s="85">
        <f t="shared" si="18"/>
        <v>21828.582629715998</v>
      </c>
      <c r="J87" s="86">
        <f>(G87-D87)/D87</f>
        <v>0.11576325465543827</v>
      </c>
      <c r="K87" s="86">
        <f t="shared" si="8"/>
        <v>0.13917669017938372</v>
      </c>
      <c r="L87" s="86">
        <f t="shared" si="8"/>
        <v>0.12896729401168855</v>
      </c>
      <c r="M87" s="82"/>
    </row>
  </sheetData>
  <sheetProtection password="DF21" sheet="1" objects="1" scenarios="1" formatCells="0" formatColumns="0"/>
  <mergeCells count="2">
    <mergeCell ref="D3:E3"/>
    <mergeCell ref="D39:E39"/>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E7067-D460-433F-8D6A-F08E902CE4D3}">
  <dimension ref="B2:L16"/>
  <sheetViews>
    <sheetView topLeftCell="A19" workbookViewId="0">
      <selection activeCell="A20" sqref="A20:Q46"/>
    </sheetView>
  </sheetViews>
  <sheetFormatPr defaultRowHeight="15" x14ac:dyDescent="0.25"/>
  <cols>
    <col min="1" max="9" width="9.140625" style="101"/>
    <col min="10" max="10" width="11" style="101" customWidth="1"/>
    <col min="11" max="11" width="9.140625" style="101"/>
    <col min="12" max="12" width="11.140625" style="101" customWidth="1"/>
    <col min="13" max="16384" width="9.140625" style="101"/>
  </cols>
  <sheetData>
    <row r="2" spans="2:12" x14ac:dyDescent="0.25">
      <c r="B2" s="101" t="str">
        <f>"Hamilton-Perry  Projections: "&amp;study.area&amp;" "&amp;population&amp;" Population, "&amp;target.year</f>
        <v>Hamilton-Perry  Projections: Decatur  Total Population, 2040</v>
      </c>
      <c r="C2" s="100"/>
      <c r="D2" s="99"/>
      <c r="E2" s="99"/>
      <c r="F2" s="98"/>
      <c r="G2" s="99"/>
      <c r="H2" s="99"/>
      <c r="I2" s="99"/>
    </row>
    <row r="3" spans="2:12" x14ac:dyDescent="0.25">
      <c r="C3" s="100"/>
      <c r="D3" s="99"/>
      <c r="E3" s="99"/>
      <c r="F3" s="98"/>
      <c r="G3" s="99"/>
      <c r="H3" s="99"/>
      <c r="I3" s="99"/>
    </row>
    <row r="4" spans="2:12" x14ac:dyDescent="0.25">
      <c r="B4" s="27" t="s">
        <v>9</v>
      </c>
      <c r="C4" s="77" t="s">
        <v>10</v>
      </c>
      <c r="D4" s="73" t="str">
        <f>launch.year&amp;" "&amp;population&amp;" Population"</f>
        <v>2010 Total Population</v>
      </c>
      <c r="E4" s="74"/>
      <c r="F4" s="75"/>
      <c r="G4" s="73" t="str">
        <f>IF(target.10,launch.year+10&amp;" "&amp;population&amp;" Population",IF(target.20,launch.year+20&amp;" "&amp;population&amp;" Population",IF(target.30,launch.year+30&amp;" "&amp;population&amp;" Population",IF(target.40,launch.year+40&amp;" "&amp;population&amp;" Population",IF(target.50,launch.year+50&amp;" "&amp;population&amp;" Population")))))</f>
        <v>2040 Total Population</v>
      </c>
      <c r="H4" s="74"/>
      <c r="I4" s="75"/>
      <c r="J4" s="28" t="str">
        <f>"Percentage Change ("&amp;launch.year&amp;"-"&amp;target.year&amp;")"</f>
        <v>Percentage Change (2010-2040)</v>
      </c>
      <c r="K4" s="30"/>
      <c r="L4" s="96"/>
    </row>
    <row r="5" spans="2:12" x14ac:dyDescent="0.25">
      <c r="B5" s="31"/>
      <c r="C5" s="78"/>
      <c r="D5" s="22" t="s">
        <v>36</v>
      </c>
      <c r="E5" s="22" t="s">
        <v>37</v>
      </c>
      <c r="F5" s="22" t="s">
        <v>32</v>
      </c>
      <c r="G5" s="22" t="s">
        <v>36</v>
      </c>
      <c r="H5" s="22" t="s">
        <v>37</v>
      </c>
      <c r="I5" s="22" t="s">
        <v>32</v>
      </c>
      <c r="J5" s="32" t="s">
        <v>36</v>
      </c>
      <c r="K5" s="32" t="s">
        <v>37</v>
      </c>
      <c r="L5" s="85" t="s">
        <v>32</v>
      </c>
    </row>
    <row r="6" spans="2:12" x14ac:dyDescent="0.25">
      <c r="B6" s="76" t="s">
        <v>14</v>
      </c>
      <c r="C6" s="76" t="s">
        <v>15</v>
      </c>
      <c r="D6" s="76" t="s">
        <v>16</v>
      </c>
      <c r="E6" s="76" t="s">
        <v>17</v>
      </c>
      <c r="F6" s="76" t="s">
        <v>18</v>
      </c>
      <c r="G6" s="76" t="s">
        <v>19</v>
      </c>
      <c r="H6" s="76" t="s">
        <v>20</v>
      </c>
      <c r="I6" s="76" t="s">
        <v>21</v>
      </c>
      <c r="J6" s="76" t="s">
        <v>34</v>
      </c>
      <c r="K6" s="76" t="s">
        <v>35</v>
      </c>
      <c r="L6" s="76" t="s">
        <v>51</v>
      </c>
    </row>
    <row r="7" spans="2:12" x14ac:dyDescent="0.25">
      <c r="B7" s="31">
        <v>1</v>
      </c>
      <c r="C7" s="31" t="s">
        <v>23</v>
      </c>
      <c r="D7" s="33">
        <f>Computations!D78</f>
        <v>1399</v>
      </c>
      <c r="E7" s="33">
        <f>Computations!E78</f>
        <v>1347</v>
      </c>
      <c r="F7" s="33">
        <f>Computations!F78</f>
        <v>2746</v>
      </c>
      <c r="G7" s="33">
        <f>Computations!G78</f>
        <v>1422</v>
      </c>
      <c r="H7" s="33">
        <f>Computations!H78</f>
        <v>1368</v>
      </c>
      <c r="I7" s="33">
        <f>Computations!I78</f>
        <v>2790</v>
      </c>
      <c r="J7" s="84">
        <f>Computations!J78</f>
        <v>1.6440314510364547E-2</v>
      </c>
      <c r="K7" s="84">
        <f>Computations!K78</f>
        <v>1.5590200445434299E-2</v>
      </c>
      <c r="L7" s="84">
        <f>Computations!L78</f>
        <v>1.6023306627822288E-2</v>
      </c>
    </row>
    <row r="8" spans="2:12" x14ac:dyDescent="0.25">
      <c r="B8" s="31">
        <v>2</v>
      </c>
      <c r="C8" s="31" t="s">
        <v>24</v>
      </c>
      <c r="D8" s="33">
        <f>Computations!D79</f>
        <v>913</v>
      </c>
      <c r="E8" s="33">
        <f>Computations!E79</f>
        <v>1190</v>
      </c>
      <c r="F8" s="33">
        <f>Computations!F79</f>
        <v>2103</v>
      </c>
      <c r="G8" s="33">
        <f>Computations!G79</f>
        <v>1182</v>
      </c>
      <c r="H8" s="33">
        <f>Computations!H79</f>
        <v>1503</v>
      </c>
      <c r="I8" s="33">
        <f>Computations!I79</f>
        <v>2685</v>
      </c>
      <c r="J8" s="84">
        <f>Computations!J79</f>
        <v>0.29463307776560788</v>
      </c>
      <c r="K8" s="84">
        <f>Computations!K79</f>
        <v>0.26302521008403362</v>
      </c>
      <c r="L8" s="84">
        <f>Computations!L79</f>
        <v>0.27674750356633382</v>
      </c>
    </row>
    <row r="9" spans="2:12" x14ac:dyDescent="0.25">
      <c r="B9" s="31">
        <v>3</v>
      </c>
      <c r="C9" s="31" t="s">
        <v>25</v>
      </c>
      <c r="D9" s="33">
        <f>Computations!D80</f>
        <v>835</v>
      </c>
      <c r="E9" s="33">
        <f>Computations!E80</f>
        <v>1428</v>
      </c>
      <c r="F9" s="33">
        <f>Computations!F80</f>
        <v>2263</v>
      </c>
      <c r="G9" s="33">
        <f>Computations!G80</f>
        <v>1055</v>
      </c>
      <c r="H9" s="33">
        <f>Computations!H80</f>
        <v>1740</v>
      </c>
      <c r="I9" s="33">
        <f>Computations!I80</f>
        <v>2795</v>
      </c>
      <c r="J9" s="84">
        <f>Computations!J80</f>
        <v>0.26347305389221559</v>
      </c>
      <c r="K9" s="84">
        <f>Computations!K80</f>
        <v>0.21848739495798319</v>
      </c>
      <c r="L9" s="84">
        <f>Computations!L80</f>
        <v>0.2350861688024746</v>
      </c>
    </row>
    <row r="10" spans="2:12" x14ac:dyDescent="0.25">
      <c r="B10" s="31">
        <v>4</v>
      </c>
      <c r="C10" s="31" t="s">
        <v>26</v>
      </c>
      <c r="D10" s="33">
        <f>Computations!D81</f>
        <v>1485</v>
      </c>
      <c r="E10" s="33">
        <f>Computations!E81</f>
        <v>1846</v>
      </c>
      <c r="F10" s="33">
        <f>Computations!F81</f>
        <v>3331</v>
      </c>
      <c r="G10" s="33">
        <f>Computations!G81</f>
        <v>1648</v>
      </c>
      <c r="H10" s="33">
        <f>Computations!H81</f>
        <v>2072</v>
      </c>
      <c r="I10" s="33">
        <f>Computations!I81</f>
        <v>3720</v>
      </c>
      <c r="J10" s="84">
        <f>Computations!J81</f>
        <v>0.10976430976430976</v>
      </c>
      <c r="K10" s="84">
        <f>Computations!K81</f>
        <v>0.12242686890574214</v>
      </c>
      <c r="L10" s="84">
        <f>Computations!L81</f>
        <v>0.11678174722305613</v>
      </c>
    </row>
    <row r="11" spans="2:12" x14ac:dyDescent="0.25">
      <c r="B11" s="31">
        <v>5</v>
      </c>
      <c r="C11" s="31" t="s">
        <v>27</v>
      </c>
      <c r="D11" s="33">
        <f>Computations!D82</f>
        <v>1538</v>
      </c>
      <c r="E11" s="33">
        <f>Computations!E82</f>
        <v>1759</v>
      </c>
      <c r="F11" s="33">
        <f>Computations!F82</f>
        <v>3297</v>
      </c>
      <c r="G11" s="33">
        <f>Computations!G82</f>
        <v>1104</v>
      </c>
      <c r="H11" s="33">
        <f>Computations!H82</f>
        <v>1408</v>
      </c>
      <c r="I11" s="33">
        <f>Computations!I82</f>
        <v>2512</v>
      </c>
      <c r="J11" s="84">
        <f>Computations!J82</f>
        <v>-0.28218465539661897</v>
      </c>
      <c r="K11" s="84">
        <f>Computations!K82</f>
        <v>-0.19954519613416713</v>
      </c>
      <c r="L11" s="84">
        <f>Computations!L82</f>
        <v>-0.23809523809523808</v>
      </c>
    </row>
    <row r="12" spans="2:12" x14ac:dyDescent="0.25">
      <c r="B12" s="31">
        <v>6</v>
      </c>
      <c r="C12" s="31" t="s">
        <v>28</v>
      </c>
      <c r="D12" s="33">
        <f>Computations!D83</f>
        <v>1106</v>
      </c>
      <c r="E12" s="33">
        <f>Computations!E83</f>
        <v>1331</v>
      </c>
      <c r="F12" s="33">
        <f>Computations!F83</f>
        <v>2437</v>
      </c>
      <c r="G12" s="33">
        <f>Computations!G83</f>
        <v>923</v>
      </c>
      <c r="H12" s="33">
        <f>Computations!H83</f>
        <v>1231</v>
      </c>
      <c r="I12" s="33">
        <f>Computations!I83</f>
        <v>2154</v>
      </c>
      <c r="J12" s="84">
        <f>Computations!J83</f>
        <v>-0.1654611211573237</v>
      </c>
      <c r="K12" s="84">
        <f>Computations!K83</f>
        <v>-7.5131480090157771E-2</v>
      </c>
      <c r="L12" s="84">
        <f>Computations!L83</f>
        <v>-0.11612638489946656</v>
      </c>
    </row>
    <row r="13" spans="2:12" x14ac:dyDescent="0.25">
      <c r="B13" s="31">
        <v>7</v>
      </c>
      <c r="C13" s="31" t="s">
        <v>29</v>
      </c>
      <c r="D13" s="33">
        <f>Computations!D84</f>
        <v>699</v>
      </c>
      <c r="E13" s="33">
        <f>Computations!E84</f>
        <v>967</v>
      </c>
      <c r="F13" s="33">
        <f>Computations!F84</f>
        <v>1666</v>
      </c>
      <c r="G13" s="33">
        <f>Computations!G84</f>
        <v>947</v>
      </c>
      <c r="H13" s="33">
        <f>Computations!H84</f>
        <v>1321</v>
      </c>
      <c r="I13" s="33">
        <f>Computations!I84</f>
        <v>2268</v>
      </c>
      <c r="J13" s="84">
        <f>Computations!J84</f>
        <v>0.35479256080114452</v>
      </c>
      <c r="K13" s="84">
        <f>Computations!K84</f>
        <v>0.36608066184074456</v>
      </c>
      <c r="L13" s="84">
        <f>Computations!L84</f>
        <v>0.36134453781512604</v>
      </c>
    </row>
    <row r="14" spans="2:12" x14ac:dyDescent="0.25">
      <c r="B14" s="31">
        <v>8</v>
      </c>
      <c r="C14" s="31" t="s">
        <v>30</v>
      </c>
      <c r="D14" s="33">
        <f>Computations!D85</f>
        <v>288</v>
      </c>
      <c r="E14" s="33">
        <f>Computations!E85</f>
        <v>515</v>
      </c>
      <c r="F14" s="33">
        <f>Computations!F85</f>
        <v>803</v>
      </c>
      <c r="G14" s="33">
        <f>Computations!G85</f>
        <v>818</v>
      </c>
      <c r="H14" s="33">
        <f>Computations!H85</f>
        <v>1229</v>
      </c>
      <c r="I14" s="33">
        <f>Computations!I85</f>
        <v>2047</v>
      </c>
      <c r="J14" s="84">
        <f>Computations!J85</f>
        <v>1.8402777777777777</v>
      </c>
      <c r="K14" s="84">
        <f>Computations!K85</f>
        <v>1.3864077669902912</v>
      </c>
      <c r="L14" s="84">
        <f>Computations!L85</f>
        <v>1.5491905354919053</v>
      </c>
    </row>
    <row r="15" spans="2:12" x14ac:dyDescent="0.25">
      <c r="B15" s="31">
        <v>9</v>
      </c>
      <c r="C15" s="31" t="s">
        <v>31</v>
      </c>
      <c r="D15" s="33">
        <f>Computations!D86</f>
        <v>168</v>
      </c>
      <c r="E15" s="33">
        <f>Computations!E86</f>
        <v>521</v>
      </c>
      <c r="F15" s="33">
        <f>Computations!F86</f>
        <v>689</v>
      </c>
      <c r="G15" s="33">
        <f>Computations!G86</f>
        <v>308</v>
      </c>
      <c r="H15" s="33">
        <f>Computations!H86</f>
        <v>549.58262971600004</v>
      </c>
      <c r="I15" s="33">
        <f>Computations!I86</f>
        <v>857.58262971600004</v>
      </c>
      <c r="J15" s="84">
        <f>Computations!J86</f>
        <v>0.83333333333333337</v>
      </c>
      <c r="K15" s="84">
        <f>Computations!K86</f>
        <v>5.4861093504798543E-2</v>
      </c>
      <c r="L15" s="84">
        <f>Computations!L86</f>
        <v>0.24467725648185781</v>
      </c>
    </row>
    <row r="16" spans="2:12" x14ac:dyDescent="0.25">
      <c r="B16" s="34"/>
      <c r="C16" s="35" t="s">
        <v>32</v>
      </c>
      <c r="D16" s="85">
        <f t="shared" ref="D16:I16" si="0">SUM(D7:D15)</f>
        <v>8431</v>
      </c>
      <c r="E16" s="85">
        <f t="shared" si="0"/>
        <v>10904</v>
      </c>
      <c r="F16" s="85">
        <f t="shared" si="0"/>
        <v>19335</v>
      </c>
      <c r="G16" s="85">
        <f t="shared" si="0"/>
        <v>9407</v>
      </c>
      <c r="H16" s="85">
        <f t="shared" si="0"/>
        <v>12421.582629716</v>
      </c>
      <c r="I16" s="85">
        <f t="shared" si="0"/>
        <v>21828.582629715998</v>
      </c>
      <c r="J16" s="86">
        <f>(G16-D16)/D16</f>
        <v>0.11576325465543827</v>
      </c>
      <c r="K16" s="86">
        <f t="shared" ref="K16:L16" si="1">(H16-E16)/E16</f>
        <v>0.13917669017938372</v>
      </c>
      <c r="L16" s="86">
        <f t="shared" si="1"/>
        <v>0.12896729401168855</v>
      </c>
    </row>
  </sheetData>
  <sheetProtection password="DF21" sheet="1" objects="1" scenarios="1" formatCells="0" formatColumns="0" formatRows="0"/>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10</vt:i4>
      </vt:variant>
    </vt:vector>
  </HeadingPairs>
  <TitlesOfParts>
    <vt:vector size="14" baseType="lpstr">
      <vt:lpstr>Documentation</vt:lpstr>
      <vt:lpstr>Input</vt:lpstr>
      <vt:lpstr>Computations</vt:lpstr>
      <vt:lpstr>Output</vt:lpstr>
      <vt:lpstr>base.year</vt:lpstr>
      <vt:lpstr>launch.year</vt:lpstr>
      <vt:lpstr>population</vt:lpstr>
      <vt:lpstr>study.area</vt:lpstr>
      <vt:lpstr>target.10</vt:lpstr>
      <vt:lpstr>target.20</vt:lpstr>
      <vt:lpstr>target.30</vt:lpstr>
      <vt:lpstr>target.40</vt:lpstr>
      <vt:lpstr>target.50</vt:lpstr>
      <vt:lpstr>target.year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Dick Klosterman</dc:creator>
  <cp:lastModifiedBy>Dick Klosterman</cp:lastModifiedBy>
  <dcterms:created xsi:type="dcterms:W3CDTF">2019-03-11T19:00:53Z</dcterms:created>
  <dcterms:modified xsi:type="dcterms:W3CDTF">2019-10-18T18:18:41Z</dcterms:modified>
</cp:coreProperties>
</file>